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\Whistler Tech Dropbox\Daniel Lantela\Whistler Therapeutics (IN USE)\Papers\Frontiers 2017\Revision 2\"/>
    </mc:Choice>
  </mc:AlternateContent>
  <xr:revisionPtr revIDLastSave="0" documentId="8_{8DB088DC-2737-4BDA-8B0D-227C994670A2}" xr6:coauthVersionLast="36" xr6:coauthVersionMax="36" xr10:uidLastSave="{00000000-0000-0000-0000-000000000000}"/>
  <bookViews>
    <workbookView xWindow="0" yWindow="0" windowWidth="24720" windowHeight="12225" tabRatio="500" firstSheet="1" activeTab="4" xr2:uid="{00000000-000D-0000-FFFF-FFFF00000000}"/>
  </bookViews>
  <sheets>
    <sheet name="Anxiety depression info" sheetId="42" r:id="rId1"/>
    <sheet name="Basic Stats Analysis" sheetId="41" r:id="rId2"/>
    <sheet name="Most Effective All Data" sheetId="26" r:id="rId3"/>
    <sheet name="Least Effective All Data" sheetId="25" r:id="rId4"/>
    <sheet name="Correlation Coefficients" sheetId="35" r:id="rId5"/>
  </sheets>
  <calcPr calcId="179021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7" i="42" l="1"/>
  <c r="G18" i="42"/>
  <c r="G19" i="42" s="1"/>
  <c r="F6" i="35"/>
  <c r="G4" i="25"/>
  <c r="G9" i="25" s="1"/>
  <c r="F4" i="25"/>
  <c r="F9" i="25" s="1"/>
  <c r="E4" i="25"/>
  <c r="E9" i="25" s="1"/>
  <c r="C9" i="25"/>
  <c r="D9" i="25"/>
  <c r="H9" i="25"/>
  <c r="I9" i="25"/>
  <c r="J9" i="25"/>
  <c r="K9" i="25"/>
  <c r="L9" i="25"/>
  <c r="M9" i="25"/>
  <c r="B9" i="25"/>
  <c r="C4" i="25"/>
  <c r="D4" i="25"/>
  <c r="H4" i="25"/>
  <c r="I4" i="25"/>
  <c r="J4" i="25"/>
  <c r="K4" i="25"/>
  <c r="L4" i="25"/>
  <c r="M4" i="25"/>
  <c r="B4" i="25"/>
  <c r="O4" i="26"/>
  <c r="O5" i="26"/>
  <c r="O6" i="26"/>
  <c r="O7" i="26"/>
  <c r="O8" i="26"/>
  <c r="O9" i="26"/>
  <c r="N4" i="26"/>
  <c r="N5" i="26"/>
  <c r="N6" i="26"/>
  <c r="N7" i="26"/>
  <c r="N8" i="26"/>
  <c r="N9" i="26"/>
  <c r="L4" i="26"/>
  <c r="L9" i="26" s="1"/>
  <c r="K4" i="26"/>
  <c r="K9" i="26" s="1"/>
  <c r="C9" i="26"/>
  <c r="D9" i="26"/>
  <c r="D4" i="26"/>
  <c r="C4" i="26"/>
  <c r="B4" i="26"/>
  <c r="B9" i="26" s="1"/>
  <c r="N9" i="25" l="1"/>
  <c r="N4" i="25" l="1"/>
  <c r="O4" i="25" s="1"/>
  <c r="N5" i="25"/>
  <c r="O5" i="25" s="1"/>
  <c r="N6" i="25"/>
  <c r="O6" i="25" s="1"/>
  <c r="N7" i="25"/>
  <c r="O7" i="25" s="1"/>
  <c r="N8" i="25"/>
  <c r="O8" i="25" s="1"/>
  <c r="O10" i="25"/>
  <c r="N11" i="25"/>
  <c r="O11" i="25"/>
  <c r="N12" i="25"/>
  <c r="O12" i="25" s="1"/>
  <c r="N13" i="25"/>
  <c r="O13" i="25" s="1"/>
  <c r="N14" i="25"/>
  <c r="O14" i="25"/>
  <c r="N15" i="25"/>
  <c r="O15" i="25"/>
  <c r="N16" i="25"/>
  <c r="O16" i="25" s="1"/>
  <c r="N17" i="25"/>
  <c r="O17" i="25" s="1"/>
  <c r="N18" i="25"/>
  <c r="O18" i="25"/>
  <c r="N19" i="25"/>
  <c r="O19" i="25"/>
  <c r="N20" i="25"/>
  <c r="O20" i="25" s="1"/>
  <c r="N21" i="25"/>
  <c r="O21" i="25" s="1"/>
  <c r="N22" i="25"/>
  <c r="O22" i="25"/>
  <c r="N23" i="25"/>
  <c r="O23" i="25"/>
  <c r="N24" i="25"/>
  <c r="O24" i="25" s="1"/>
  <c r="N25" i="25"/>
  <c r="O25" i="25" s="1"/>
  <c r="N26" i="25"/>
  <c r="O26" i="25"/>
  <c r="N27" i="25"/>
  <c r="O27" i="25"/>
  <c r="N28" i="25"/>
  <c r="O28" i="25" s="1"/>
  <c r="N29" i="25"/>
  <c r="O29" i="25" s="1"/>
  <c r="N30" i="25"/>
  <c r="O30" i="25"/>
  <c r="N31" i="25"/>
  <c r="O31" i="25"/>
  <c r="N32" i="25"/>
  <c r="O32" i="25" s="1"/>
  <c r="N33" i="25"/>
  <c r="O33" i="25" s="1"/>
  <c r="N34" i="25"/>
  <c r="O34" i="25"/>
  <c r="N35" i="25"/>
  <c r="O35" i="25"/>
  <c r="N36" i="25"/>
  <c r="O36" i="25" s="1"/>
  <c r="N37" i="25"/>
  <c r="O37" i="25" s="1"/>
  <c r="N38" i="25"/>
  <c r="O38" i="25"/>
  <c r="N39" i="25"/>
  <c r="O39" i="25"/>
  <c r="N40" i="25"/>
  <c r="O40" i="25" s="1"/>
  <c r="B11" i="25"/>
  <c r="B14" i="25"/>
  <c r="B15" i="25"/>
  <c r="B16" i="25"/>
  <c r="B17" i="25"/>
  <c r="B18" i="25"/>
  <c r="B21" i="25"/>
  <c r="B26" i="25"/>
  <c r="B28" i="25"/>
  <c r="B29" i="25"/>
  <c r="B33" i="25"/>
  <c r="B35" i="25"/>
  <c r="B39" i="25"/>
  <c r="O9" i="25" l="1"/>
  <c r="L11" i="35"/>
  <c r="N19" i="26" l="1"/>
  <c r="E4" i="26"/>
  <c r="F4" i="26"/>
  <c r="F9" i="26" s="1"/>
  <c r="G4" i="26"/>
  <c r="G9" i="26" s="1"/>
  <c r="H4" i="26"/>
  <c r="H9" i="26" s="1"/>
  <c r="I4" i="26"/>
  <c r="I9" i="26" s="1"/>
  <c r="J4" i="26"/>
  <c r="J9" i="26" s="1"/>
  <c r="M4" i="26"/>
  <c r="M9" i="26" s="1"/>
  <c r="E9" i="26" l="1"/>
  <c r="P9" i="26" s="1"/>
  <c r="P4" i="26"/>
  <c r="F40" i="35"/>
  <c r="F36" i="35"/>
  <c r="O19" i="26"/>
  <c r="P19" i="26" s="1"/>
  <c r="N22" i="26"/>
  <c r="O22" i="26" s="1"/>
  <c r="P22" i="26" s="1"/>
  <c r="N23" i="26"/>
  <c r="O23" i="26" s="1"/>
  <c r="P23" i="26" s="1"/>
  <c r="N40" i="26"/>
  <c r="O40" i="26" s="1"/>
  <c r="P40" i="26" s="1"/>
  <c r="H12" i="35"/>
  <c r="H16" i="35"/>
  <c r="H20" i="35"/>
  <c r="H26" i="35"/>
  <c r="H31" i="35"/>
  <c r="H32" i="35"/>
  <c r="H33" i="35"/>
  <c r="H34" i="35"/>
  <c r="H36" i="35"/>
  <c r="H38" i="35"/>
  <c r="H39" i="35"/>
  <c r="H40" i="35"/>
  <c r="F19" i="35"/>
  <c r="F23" i="35"/>
  <c r="F27" i="35"/>
  <c r="F31" i="35"/>
  <c r="F33" i="35"/>
  <c r="F35" i="35"/>
  <c r="F39" i="35"/>
  <c r="F41" i="35"/>
  <c r="N37" i="26"/>
  <c r="O37" i="26" s="1"/>
  <c r="P37" i="26" s="1"/>
  <c r="N12" i="26"/>
  <c r="O12" i="26" s="1"/>
  <c r="P12" i="26" s="1"/>
  <c r="N13" i="26"/>
  <c r="O13" i="26" s="1"/>
  <c r="P13" i="26" s="1"/>
  <c r="N14" i="26"/>
  <c r="O14" i="26" s="1"/>
  <c r="P14" i="26" s="1"/>
  <c r="N15" i="26"/>
  <c r="O15" i="26" s="1"/>
  <c r="P15" i="26" s="1"/>
  <c r="N16" i="26"/>
  <c r="O16" i="26" s="1"/>
  <c r="P16" i="26" s="1"/>
  <c r="N17" i="26"/>
  <c r="O17" i="26" s="1"/>
  <c r="P17" i="26" s="1"/>
  <c r="N18" i="26"/>
  <c r="O18" i="26" s="1"/>
  <c r="P18" i="26" s="1"/>
  <c r="N20" i="26"/>
  <c r="O20" i="26" s="1"/>
  <c r="P20" i="26" s="1"/>
  <c r="N21" i="26"/>
  <c r="O21" i="26" s="1"/>
  <c r="P21" i="26" s="1"/>
  <c r="N24" i="26"/>
  <c r="O24" i="26" s="1"/>
  <c r="P24" i="26" s="1"/>
  <c r="N25" i="26"/>
  <c r="O25" i="26" s="1"/>
  <c r="P25" i="26" s="1"/>
  <c r="N26" i="26"/>
  <c r="O26" i="26" s="1"/>
  <c r="P26" i="26" s="1"/>
  <c r="N27" i="26"/>
  <c r="O27" i="26" s="1"/>
  <c r="P27" i="26" s="1"/>
  <c r="N28" i="26"/>
  <c r="O28" i="26" s="1"/>
  <c r="P28" i="26" s="1"/>
  <c r="N29" i="26"/>
  <c r="O29" i="26" s="1"/>
  <c r="P29" i="26" s="1"/>
  <c r="N30" i="26"/>
  <c r="O30" i="26" s="1"/>
  <c r="P30" i="26" s="1"/>
  <c r="N31" i="26"/>
  <c r="O31" i="26" s="1"/>
  <c r="P31" i="26" s="1"/>
  <c r="N32" i="26"/>
  <c r="O32" i="26" s="1"/>
  <c r="P32" i="26" s="1"/>
  <c r="N33" i="26"/>
  <c r="O33" i="26" s="1"/>
  <c r="P33" i="26" s="1"/>
  <c r="N34" i="26"/>
  <c r="O34" i="26" s="1"/>
  <c r="P34" i="26" s="1"/>
  <c r="N35" i="26"/>
  <c r="O35" i="26" s="1"/>
  <c r="P35" i="26" s="1"/>
  <c r="N36" i="26"/>
  <c r="O36" i="26" s="1"/>
  <c r="P36" i="26" s="1"/>
  <c r="N38" i="26"/>
  <c r="O38" i="26" s="1"/>
  <c r="P38" i="26" s="1"/>
  <c r="N39" i="26"/>
  <c r="O39" i="26" s="1"/>
  <c r="P39" i="26" s="1"/>
  <c r="P5" i="26"/>
  <c r="P6" i="26"/>
  <c r="P7" i="26"/>
  <c r="P8" i="26"/>
  <c r="N11" i="26"/>
  <c r="O11" i="26" s="1"/>
  <c r="P11" i="26" s="1"/>
  <c r="I17" i="35" l="1"/>
  <c r="K17" i="35"/>
  <c r="K38" i="35"/>
  <c r="I38" i="35"/>
  <c r="I13" i="35"/>
  <c r="K13" i="35"/>
  <c r="K27" i="35"/>
  <c r="I27" i="35"/>
  <c r="L27" i="35" s="1"/>
  <c r="I35" i="35"/>
  <c r="L35" i="35" s="1"/>
  <c r="K35" i="35"/>
  <c r="I39" i="35"/>
  <c r="L39" i="35" s="1"/>
  <c r="K39" i="35"/>
  <c r="K33" i="35"/>
  <c r="I33" i="35"/>
  <c r="L33" i="35" s="1"/>
  <c r="K37" i="35"/>
  <c r="I37" i="35"/>
  <c r="L37" i="35" s="1"/>
  <c r="I41" i="35"/>
  <c r="L41" i="35" s="1"/>
  <c r="K41" i="35"/>
  <c r="F15" i="35"/>
  <c r="F37" i="35"/>
  <c r="F29" i="35"/>
  <c r="F21" i="35"/>
  <c r="F13" i="35"/>
  <c r="H37" i="35"/>
  <c r="H30" i="35"/>
  <c r="H24" i="35"/>
  <c r="F25" i="35"/>
  <c r="F17" i="35"/>
  <c r="H27" i="35"/>
  <c r="H18" i="35"/>
  <c r="F18" i="35"/>
  <c r="F30" i="35"/>
  <c r="F34" i="35"/>
  <c r="F22" i="35"/>
  <c r="I15" i="35"/>
  <c r="L15" i="35" s="1"/>
  <c r="K15" i="35"/>
  <c r="I19" i="35"/>
  <c r="L19" i="35" s="1"/>
  <c r="K19" i="35"/>
  <c r="K23" i="35"/>
  <c r="I23" i="35"/>
  <c r="L23" i="35" s="1"/>
  <c r="I31" i="35"/>
  <c r="L31" i="35" s="1"/>
  <c r="K31" i="35"/>
  <c r="F10" i="35"/>
  <c r="F26" i="35"/>
  <c r="H22" i="35"/>
  <c r="F12" i="35"/>
  <c r="F16" i="35"/>
  <c r="F20" i="35"/>
  <c r="F24" i="35"/>
  <c r="F28" i="35"/>
  <c r="H28" i="35"/>
  <c r="F32" i="35"/>
  <c r="H14" i="35"/>
  <c r="F14" i="35"/>
  <c r="H10" i="35"/>
  <c r="I21" i="35"/>
  <c r="K21" i="35"/>
  <c r="I25" i="35"/>
  <c r="K25" i="35"/>
  <c r="I29" i="35"/>
  <c r="K29" i="35"/>
  <c r="F38" i="35"/>
  <c r="H23" i="35"/>
  <c r="H17" i="35"/>
  <c r="H13" i="35"/>
  <c r="H41" i="35"/>
  <c r="H35" i="35"/>
  <c r="H29" i="35"/>
  <c r="H25" i="35"/>
  <c r="H21" i="35"/>
  <c r="H19" i="35"/>
  <c r="H15" i="35"/>
  <c r="L21" i="35" l="1"/>
  <c r="L29" i="35"/>
  <c r="J13" i="35"/>
  <c r="L25" i="35"/>
  <c r="J37" i="35"/>
  <c r="G37" i="35" s="1"/>
  <c r="L13" i="35"/>
  <c r="L38" i="35"/>
  <c r="L17" i="35"/>
  <c r="J17" i="35"/>
  <c r="G17" i="35" s="1"/>
  <c r="J41" i="35"/>
  <c r="G41" i="35" s="1"/>
  <c r="J27" i="35"/>
  <c r="G27" i="35" s="1"/>
  <c r="J21" i="35"/>
  <c r="G21" i="35" s="1"/>
  <c r="J29" i="35"/>
  <c r="G29" i="35" s="1"/>
  <c r="J35" i="35"/>
  <c r="G35" i="35" s="1"/>
  <c r="G13" i="35"/>
  <c r="J33" i="35"/>
  <c r="G33" i="35" s="1"/>
  <c r="J38" i="35"/>
  <c r="G38" i="35" s="1"/>
  <c r="J19" i="35"/>
  <c r="G19" i="35" s="1"/>
  <c r="J39" i="35"/>
  <c r="G39" i="35" s="1"/>
  <c r="J15" i="35"/>
  <c r="G15" i="35" s="1"/>
  <c r="I24" i="35"/>
  <c r="L24" i="35" s="1"/>
  <c r="K24" i="35"/>
  <c r="I16" i="35"/>
  <c r="L16" i="35" s="1"/>
  <c r="K16" i="35"/>
  <c r="I26" i="35"/>
  <c r="L26" i="35" s="1"/>
  <c r="K26" i="35"/>
  <c r="J25" i="35"/>
  <c r="G25" i="35" s="1"/>
  <c r="I40" i="35"/>
  <c r="L40" i="35" s="1"/>
  <c r="K40" i="35"/>
  <c r="J23" i="35"/>
  <c r="G23" i="35" s="1"/>
  <c r="I14" i="35"/>
  <c r="L14" i="35" s="1"/>
  <c r="K14" i="35"/>
  <c r="I28" i="35"/>
  <c r="L28" i="35" s="1"/>
  <c r="K28" i="35"/>
  <c r="J31" i="35"/>
  <c r="G31" i="35" s="1"/>
  <c r="I34" i="35"/>
  <c r="L34" i="35" s="1"/>
  <c r="K34" i="35"/>
  <c r="I18" i="35"/>
  <c r="L18" i="35" s="1"/>
  <c r="K18" i="35"/>
  <c r="K20" i="35"/>
  <c r="I20" i="35"/>
  <c r="L20" i="35" s="1"/>
  <c r="I12" i="35"/>
  <c r="L12" i="35" s="1"/>
  <c r="K12" i="35"/>
  <c r="K10" i="35"/>
  <c r="I10" i="35"/>
  <c r="L10" i="35" s="1"/>
  <c r="I36" i="35"/>
  <c r="L36" i="35" s="1"/>
  <c r="K36" i="35"/>
  <c r="I32" i="35"/>
  <c r="L32" i="35" s="1"/>
  <c r="K32" i="35"/>
  <c r="I22" i="35"/>
  <c r="L22" i="35" s="1"/>
  <c r="K22" i="35"/>
  <c r="I30" i="35"/>
  <c r="L30" i="35" s="1"/>
  <c r="K30" i="35"/>
  <c r="J18" i="35" l="1"/>
  <c r="G18" i="35" s="1"/>
  <c r="J22" i="35"/>
  <c r="G22" i="35" s="1"/>
  <c r="J28" i="35"/>
  <c r="G28" i="35" s="1"/>
  <c r="J32" i="35"/>
  <c r="G32" i="35" s="1"/>
  <c r="J20" i="35"/>
  <c r="G20" i="35" s="1"/>
  <c r="J36" i="35"/>
  <c r="G36" i="35" s="1"/>
  <c r="J30" i="35"/>
  <c r="G30" i="35" s="1"/>
  <c r="J10" i="35"/>
  <c r="J34" i="35"/>
  <c r="G34" i="35" s="1"/>
  <c r="J16" i="35"/>
  <c r="G16" i="35" s="1"/>
  <c r="J14" i="35"/>
  <c r="G14" i="35" s="1"/>
  <c r="J12" i="35"/>
  <c r="G12" i="35" s="1"/>
  <c r="J40" i="35"/>
  <c r="G40" i="35" s="1"/>
  <c r="J26" i="35"/>
  <c r="G26" i="35" s="1"/>
  <c r="J24" i="35"/>
  <c r="G24" i="35" s="1"/>
  <c r="K8" i="35" l="1"/>
  <c r="K6" i="35"/>
  <c r="H6" i="35"/>
  <c r="I5" i="35"/>
  <c r="H9" i="35"/>
  <c r="H8" i="35"/>
  <c r="F5" i="35"/>
  <c r="K9" i="35"/>
  <c r="I9" i="35"/>
  <c r="F8" i="35"/>
  <c r="K7" i="35"/>
  <c r="I7" i="35"/>
  <c r="H7" i="35"/>
  <c r="F7" i="35"/>
  <c r="I6" i="35"/>
  <c r="K5" i="35"/>
  <c r="L5" i="35" l="1"/>
  <c r="L7" i="35"/>
  <c r="H5" i="35"/>
  <c r="J5" i="35" s="1"/>
  <c r="G5" i="35" s="1"/>
  <c r="F9" i="35"/>
  <c r="L9" i="35" s="1"/>
  <c r="I8" i="35"/>
  <c r="L8" i="35" s="1"/>
  <c r="L6" i="35"/>
  <c r="J9" i="35"/>
  <c r="G9" i="35" s="1"/>
  <c r="J7" i="35"/>
  <c r="G7" i="35" s="1"/>
  <c r="J6" i="35"/>
  <c r="G6" i="35" s="1"/>
  <c r="J8" i="35" l="1"/>
  <c r="G8" i="35" s="1"/>
  <c r="G10" i="35" l="1"/>
</calcChain>
</file>

<file path=xl/sharedStrings.xml><?xml version="1.0" encoding="utf-8"?>
<sst xmlns="http://schemas.openxmlformats.org/spreadsheetml/2006/main" count="323" uniqueCount="174">
  <si>
    <t>Terpene %</t>
  </si>
  <si>
    <t>α-pinene</t>
  </si>
  <si>
    <t>Camphene</t>
  </si>
  <si>
    <t>Sabinene</t>
  </si>
  <si>
    <t>β-Pinene</t>
  </si>
  <si>
    <t>Myrcene</t>
  </si>
  <si>
    <t>3-Carene</t>
  </si>
  <si>
    <t>D-Limonene</t>
  </si>
  <si>
    <t>Eucalyptol</t>
  </si>
  <si>
    <t>Terpinolene</t>
  </si>
  <si>
    <t>a-terpinene</t>
  </si>
  <si>
    <t>y-terpinene</t>
  </si>
  <si>
    <t>Sabinene Hydrate</t>
  </si>
  <si>
    <t>Fenchone</t>
  </si>
  <si>
    <t>Linalool</t>
  </si>
  <si>
    <t>Fenchol</t>
  </si>
  <si>
    <t>Borneol</t>
  </si>
  <si>
    <t>α-Terpineol</t>
  </si>
  <si>
    <t>gamma-terpineol</t>
  </si>
  <si>
    <t>Geraniol</t>
  </si>
  <si>
    <t>Nerol</t>
  </si>
  <si>
    <t>Caryophyllene Oxide</t>
  </si>
  <si>
    <t>Humulene</t>
  </si>
  <si>
    <t>Valencene</t>
  </si>
  <si>
    <t>trans-Nerolidiol</t>
  </si>
  <si>
    <t>Cedrol</t>
  </si>
  <si>
    <t>Guaiol</t>
  </si>
  <si>
    <t>α-Bisabolol</t>
  </si>
  <si>
    <t>P101 Bubba Kush</t>
  </si>
  <si>
    <t>Lot P125 Bubba Kush</t>
  </si>
  <si>
    <t>P099 SKWOK</t>
  </si>
  <si>
    <t>P085 SKWOK</t>
  </si>
  <si>
    <t>Lot P069 SKWOK</t>
  </si>
  <si>
    <t>P139 Kosher K</t>
  </si>
  <si>
    <t>P111 Kosher K</t>
  </si>
  <si>
    <t>P146 CBD Shark</t>
  </si>
  <si>
    <t>P132 CBD Shark</t>
  </si>
  <si>
    <t>P117 CBD Shark</t>
  </si>
  <si>
    <t>P100 Kosher K</t>
  </si>
  <si>
    <t>P094 Chocolope</t>
  </si>
  <si>
    <t>P130 Chocolope</t>
  </si>
  <si>
    <t>Total Terpene %</t>
  </si>
  <si>
    <t>P051 CHOCOLOPE</t>
  </si>
  <si>
    <t>Skywalker OG Kush</t>
  </si>
  <si>
    <t>Kosher Kush</t>
  </si>
  <si>
    <t>Chocolope</t>
  </si>
  <si>
    <t>Blueberry Lambsbread</t>
  </si>
  <si>
    <t>CBD Shark</t>
  </si>
  <si>
    <t>Average</t>
  </si>
  <si>
    <t>THC+THCa *0.877</t>
  </si>
  <si>
    <t>CBD+CBDa*0.877</t>
  </si>
  <si>
    <t>CBG+CBGa*0.877</t>
  </si>
  <si>
    <t>CBC+CBCa*0.877</t>
  </si>
  <si>
    <t>Weighted Av</t>
  </si>
  <si>
    <t>p</t>
  </si>
  <si>
    <t>Votes</t>
  </si>
  <si>
    <t>t</t>
  </si>
  <si>
    <t>Total Terpenes</t>
  </si>
  <si>
    <t>Cannabinoids and Terpenes</t>
  </si>
  <si>
    <t>Sd</t>
  </si>
  <si>
    <t>Se</t>
  </si>
  <si>
    <t>Difference of Means</t>
  </si>
  <si>
    <t>CC</t>
  </si>
  <si>
    <t>Df</t>
  </si>
  <si>
    <t>Constituent</t>
  </si>
  <si>
    <t>% of total cannabinoids and terpenes</t>
  </si>
  <si>
    <t>P104 Blue</t>
  </si>
  <si>
    <t>Lot P109- Blue</t>
  </si>
  <si>
    <t>Lot P137- Blue</t>
  </si>
  <si>
    <t>% of total Cannabinoids and Terpenes</t>
  </si>
  <si>
    <t>n</t>
  </si>
  <si>
    <t>n-1</t>
  </si>
  <si>
    <t xml:space="preserve">α-Phellandrene
</t>
  </si>
  <si>
    <t>β-Ocimene</t>
  </si>
  <si>
    <t>β-Caryophyllene</t>
  </si>
  <si>
    <t>Not Tested</t>
  </si>
  <si>
    <t>Not tested</t>
  </si>
  <si>
    <t>Av - Most Effective</t>
  </si>
  <si>
    <t>Weighted Average</t>
  </si>
  <si>
    <t>Votes-&gt;</t>
  </si>
  <si>
    <t>Weighted Sd</t>
  </si>
  <si>
    <t>Cannabinoids and Terpenes n*</t>
  </si>
  <si>
    <t>*Excluding those below</t>
  </si>
  <si>
    <t>P143 Tangerine Dream</t>
  </si>
  <si>
    <t>P106 Tangerine Dream</t>
  </si>
  <si>
    <t>P092 Tangerine Dream</t>
  </si>
  <si>
    <t>[Terpene] %</t>
  </si>
  <si>
    <t>Av - Least</t>
  </si>
  <si>
    <t>Cannabinoid and Total Terpene %</t>
  </si>
  <si>
    <t>Total Cannnabinoids and Terpenes</t>
  </si>
  <si>
    <t>CC Se</t>
  </si>
  <si>
    <t>n for Nerolidol, Eucalyptol, a-terpinene, y-terpinene and y-terpineol</t>
  </si>
  <si>
    <t>P090Bubba Kush</t>
  </si>
  <si>
    <t>Cannabinoid and Terpene %</t>
  </si>
  <si>
    <t xml:space="preserve">All 30 days </t>
  </si>
  <si>
    <t xml:space="preserve">20 to 29 days </t>
  </si>
  <si>
    <t xml:space="preserve">10 to 19 days </t>
  </si>
  <si>
    <t xml:space="preserve">6 to 9 days </t>
  </si>
  <si>
    <t xml:space="preserve">3 to 5 days </t>
  </si>
  <si>
    <t xml:space="preserve">1 to 2 days </t>
  </si>
  <si>
    <t>OTHER</t>
  </si>
  <si>
    <t>MALE</t>
  </si>
  <si>
    <t>FEMALE</t>
  </si>
  <si>
    <t>Count (n=442)</t>
  </si>
  <si>
    <t>Sex</t>
  </si>
  <si>
    <r>
      <t>Table 5: Days survey participants used cannabis in the past 30 days by sex (</t>
    </r>
    <r>
      <rPr>
        <b/>
        <i/>
        <sz val="12"/>
        <color theme="1"/>
        <rFont val="Calibri"/>
        <family val="2"/>
        <scheme val="minor"/>
      </rPr>
      <t>n = 442)</t>
    </r>
  </si>
  <si>
    <t>Other Licensed Producers</t>
  </si>
  <si>
    <t>WMMC Client Services</t>
  </si>
  <si>
    <t>Word of Mouth</t>
  </si>
  <si>
    <t xml:space="preserve">Academic Journals or Research Articles </t>
  </si>
  <si>
    <t xml:space="preserve">Physician </t>
  </si>
  <si>
    <t>Cannabis Clinic</t>
  </si>
  <si>
    <t>Specific Websites</t>
  </si>
  <si>
    <t>General internet searches</t>
  </si>
  <si>
    <t>Count (n= 442)</t>
  </si>
  <si>
    <t>Source</t>
  </si>
  <si>
    <r>
      <t>Table 4: Survey participants' access to medical information on cannabis (</t>
    </r>
    <r>
      <rPr>
        <b/>
        <i/>
        <sz val="12"/>
        <color theme="1"/>
        <rFont val="Calibri"/>
        <family val="2"/>
        <scheme val="minor"/>
      </rPr>
      <t>n = 442)</t>
    </r>
  </si>
  <si>
    <t xml:space="preserve">Average </t>
  </si>
  <si>
    <r>
      <t>Count (</t>
    </r>
    <r>
      <rPr>
        <i/>
        <sz val="12"/>
        <color theme="0"/>
        <rFont val="Calibri"/>
        <family val="2"/>
        <scheme val="minor"/>
      </rPr>
      <t>n= 442)</t>
    </r>
  </si>
  <si>
    <t>Health Rate</t>
  </si>
  <si>
    <r>
      <t>Table 3: Survey participants' perception of overall health, 1 = very poor and 10 = excellent (</t>
    </r>
    <r>
      <rPr>
        <b/>
        <i/>
        <sz val="12"/>
        <color theme="1"/>
        <rFont val="Calibri"/>
        <family val="2"/>
        <scheme val="minor"/>
      </rPr>
      <t>n = 442)</t>
    </r>
  </si>
  <si>
    <t>Female</t>
  </si>
  <si>
    <t xml:space="preserve">Male </t>
  </si>
  <si>
    <t>More than 10 years</t>
  </si>
  <si>
    <t>5 - 10 Years</t>
  </si>
  <si>
    <t>4 - 5 Years</t>
  </si>
  <si>
    <t>1 - 3 Years</t>
  </si>
  <si>
    <t>Other</t>
  </si>
  <si>
    <t>Less than 1 year</t>
  </si>
  <si>
    <r>
      <t>Count (</t>
    </r>
    <r>
      <rPr>
        <i/>
        <sz val="12"/>
        <color theme="0"/>
        <rFont val="Calibri"/>
        <family val="2"/>
        <scheme val="minor"/>
      </rPr>
      <t>n=442)</t>
    </r>
  </si>
  <si>
    <t>Years</t>
  </si>
  <si>
    <r>
      <t>Table 2: Distribution of survey participants by sex and years of smoking medical marijuana (</t>
    </r>
    <r>
      <rPr>
        <b/>
        <i/>
        <sz val="12"/>
        <color theme="1"/>
        <rFont val="Calibri"/>
        <family val="2"/>
        <scheme val="minor"/>
      </rPr>
      <t>n = 442)</t>
    </r>
  </si>
  <si>
    <t>60 - 79 Years</t>
  </si>
  <si>
    <t>40 - 59 Years</t>
  </si>
  <si>
    <t>80 - 100 Years</t>
  </si>
  <si>
    <t>20 - 39 Years</t>
  </si>
  <si>
    <t>0 - 19 Years</t>
  </si>
  <si>
    <t xml:space="preserve">Sex and Age </t>
  </si>
  <si>
    <r>
      <t xml:space="preserve">Table 1: Distribution of survey participants by age group and sex </t>
    </r>
    <r>
      <rPr>
        <b/>
        <i/>
        <sz val="12"/>
        <color theme="1"/>
        <rFont val="Calibri"/>
        <family val="2"/>
        <scheme val="minor"/>
      </rPr>
      <t>(n = 442)</t>
    </r>
  </si>
  <si>
    <t>Tangerine Dream</t>
  </si>
  <si>
    <t>Blueberry Lambstread</t>
  </si>
  <si>
    <t>n2</t>
  </si>
  <si>
    <t>Strain/Products2</t>
  </si>
  <si>
    <t>Strain/Products</t>
  </si>
  <si>
    <t>Standard Error</t>
  </si>
  <si>
    <t>Standard Deviation</t>
  </si>
  <si>
    <t>Depression</t>
  </si>
  <si>
    <t>Stress</t>
  </si>
  <si>
    <t>Anxiety</t>
  </si>
  <si>
    <t xml:space="preserve">Insomnia </t>
  </si>
  <si>
    <t>Pain</t>
  </si>
  <si>
    <t>Count (n=260)</t>
  </si>
  <si>
    <t>Level</t>
  </si>
  <si>
    <t>Symptoms</t>
  </si>
  <si>
    <t>Specific Phobias/Panic Disorders</t>
  </si>
  <si>
    <t>Obsessive Compulsive Disorder</t>
  </si>
  <si>
    <t>Acute Stress Disorder</t>
  </si>
  <si>
    <t>Social Anxiety Disorder</t>
  </si>
  <si>
    <t>Post-Traumatic Stress Disorder</t>
  </si>
  <si>
    <t>Generalized Anxiety Disorder</t>
  </si>
  <si>
    <t>Anxiety Disorder</t>
  </si>
  <si>
    <t>Eating Disorder</t>
  </si>
  <si>
    <t xml:space="preserve">Migranes </t>
  </si>
  <si>
    <t xml:space="preserve">Mood Disorder </t>
  </si>
  <si>
    <t xml:space="preserve">Sleep Disorder </t>
  </si>
  <si>
    <t>Neurlogical/Psychiatric Condition</t>
  </si>
  <si>
    <t>Least Effective Strains</t>
  </si>
  <si>
    <t>Most Effective Strains</t>
  </si>
  <si>
    <t>Bubba Kush</t>
  </si>
  <si>
    <r>
      <t>Strain(s) or product(s) most effective for treating anxiety for survey participants (</t>
    </r>
    <r>
      <rPr>
        <b/>
        <i/>
        <sz val="12"/>
        <color theme="1"/>
        <rFont val="Calibri"/>
        <family val="2"/>
        <scheme val="minor"/>
      </rPr>
      <t xml:space="preserve">n = 219) </t>
    </r>
  </si>
  <si>
    <r>
      <t xml:space="preserve">Use of medical cannabis for symptoms </t>
    </r>
    <r>
      <rPr>
        <b/>
        <i/>
        <sz val="12"/>
        <color theme="1"/>
        <rFont val="Calibri"/>
        <family val="2"/>
        <scheme val="minor"/>
      </rPr>
      <t>(n=442)</t>
    </r>
  </si>
  <si>
    <t xml:space="preserve">Study participants' perception of cannabis at alleviating your anxiety </t>
  </si>
  <si>
    <r>
      <t>Number of survey participants suffering/diagnosed with neurological/psychiatric conditions (</t>
    </r>
    <r>
      <rPr>
        <b/>
        <i/>
        <sz val="12"/>
        <color theme="1"/>
        <rFont val="Calibri"/>
        <family val="2"/>
        <scheme val="minor"/>
      </rPr>
      <t>n = 100)</t>
    </r>
  </si>
  <si>
    <r>
      <t>Number of survey participants suffering/diagnosed with anxiety disorder (</t>
    </r>
    <r>
      <rPr>
        <b/>
        <i/>
        <sz val="12"/>
        <color theme="1"/>
        <rFont val="Calibri"/>
        <family val="2"/>
        <scheme val="minor"/>
      </rPr>
      <t>n = 66)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</si>
</sst>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000"/>
  </numFmts>
  <fonts count="2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Times"/>
      <family val="1"/>
    </font>
    <font>
      <i/>
      <sz val="12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  <fill>
      <patternFill patternType="solid">
        <fgColor rgb="FFFFEB9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rgb="FFCCCCCC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/>
      <right/>
      <top style="medium">
        <color rgb="FFCCCCCC"/>
      </top>
      <bottom style="medium">
        <color indexed="64"/>
      </bottom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5" fillId="2" borderId="0" applyNumberFormat="0" applyBorder="0" applyAlignment="0" applyProtection="0"/>
  </cellStyleXfs>
  <cellXfs count="192">
    <xf numFmtId="0" fontId="0" fillId="0" borderId="0" xfId="0"/>
    <xf numFmtId="0" fontId="6" fillId="0" borderId="0" xfId="0" applyFont="1" applyBorder="1" applyAlignment="1">
      <alignment wrapText="1"/>
    </xf>
    <xf numFmtId="0" fontId="7" fillId="3" borderId="0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4" fillId="6" borderId="0" xfId="1" applyFont="1" applyFill="1"/>
    <xf numFmtId="0" fontId="15" fillId="0" borderId="0" xfId="0" applyFont="1"/>
    <xf numFmtId="0" fontId="4" fillId="4" borderId="1" xfId="0" applyFont="1" applyFill="1" applyBorder="1"/>
    <xf numFmtId="0" fontId="4" fillId="2" borderId="2" xfId="1" applyFont="1" applyBorder="1"/>
    <xf numFmtId="0" fontId="0" fillId="0" borderId="4" xfId="0" applyBorder="1"/>
    <xf numFmtId="0" fontId="0" fillId="0" borderId="7" xfId="0" applyBorder="1"/>
    <xf numFmtId="0" fontId="0" fillId="0" borderId="0" xfId="0" applyBorder="1"/>
    <xf numFmtId="0" fontId="11" fillId="0" borderId="8" xfId="0" applyFont="1" applyBorder="1"/>
    <xf numFmtId="0" fontId="12" fillId="0" borderId="8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13" xfId="0" applyBorder="1"/>
    <xf numFmtId="2" fontId="0" fillId="0" borderId="8" xfId="0" applyNumberFormat="1" applyBorder="1"/>
    <xf numFmtId="2" fontId="0" fillId="0" borderId="0" xfId="0" applyNumberFormat="1" applyBorder="1"/>
    <xf numFmtId="2" fontId="0" fillId="0" borderId="7" xfId="0" applyNumberFormat="1" applyBorder="1"/>
    <xf numFmtId="0" fontId="0" fillId="0" borderId="16" xfId="0" applyBorder="1"/>
    <xf numFmtId="0" fontId="0" fillId="0" borderId="1" xfId="0" applyBorder="1"/>
    <xf numFmtId="0" fontId="4" fillId="4" borderId="16" xfId="0" applyFont="1" applyFill="1" applyBorder="1"/>
    <xf numFmtId="0" fontId="4" fillId="2" borderId="14" xfId="1" applyFont="1" applyBorder="1"/>
    <xf numFmtId="0" fontId="4" fillId="2" borderId="15" xfId="1" applyFont="1" applyBorder="1"/>
    <xf numFmtId="164" fontId="0" fillId="0" borderId="2" xfId="0" applyNumberFormat="1" applyBorder="1"/>
    <xf numFmtId="164" fontId="0" fillId="0" borderId="8" xfId="0" applyNumberFormat="1" applyBorder="1"/>
    <xf numFmtId="164" fontId="0" fillId="0" borderId="0" xfId="0" applyNumberFormat="1" applyBorder="1"/>
    <xf numFmtId="164" fontId="0" fillId="0" borderId="7" xfId="0" applyNumberForma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10" xfId="0" applyNumberFormat="1" applyBorder="1"/>
    <xf numFmtId="164" fontId="0" fillId="0" borderId="9" xfId="0" applyNumberFormat="1" applyBorder="1"/>
    <xf numFmtId="164" fontId="0" fillId="0" borderId="11" xfId="0" applyNumberFormat="1" applyBorder="1"/>
    <xf numFmtId="2" fontId="0" fillId="0" borderId="2" xfId="0" applyNumberFormat="1" applyBorder="1"/>
    <xf numFmtId="2" fontId="0" fillId="0" borderId="1" xfId="0" applyNumberFormat="1" applyBorder="1"/>
    <xf numFmtId="2" fontId="0" fillId="0" borderId="4" xfId="0" applyNumberFormat="1" applyBorder="1"/>
    <xf numFmtId="2" fontId="0" fillId="0" borderId="11" xfId="0" applyNumberFormat="1" applyBorder="1"/>
    <xf numFmtId="0" fontId="4" fillId="2" borderId="0" xfId="1" applyFont="1" applyBorder="1"/>
    <xf numFmtId="165" fontId="0" fillId="0" borderId="1" xfId="0" applyNumberFormat="1" applyBorder="1"/>
    <xf numFmtId="165" fontId="0" fillId="0" borderId="2" xfId="0" applyNumberFormat="1" applyBorder="1"/>
    <xf numFmtId="165" fontId="0" fillId="0" borderId="4" xfId="0" applyNumberFormat="1" applyBorder="1"/>
    <xf numFmtId="165" fontId="0" fillId="0" borderId="8" xfId="0" applyNumberFormat="1" applyBorder="1"/>
    <xf numFmtId="165" fontId="0" fillId="0" borderId="0" xfId="0" applyNumberFormat="1" applyBorder="1"/>
    <xf numFmtId="165" fontId="0" fillId="0" borderId="7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0" fontId="4" fillId="2" borderId="16" xfId="1" applyFont="1" applyBorder="1"/>
    <xf numFmtId="0" fontId="4" fillId="2" borderId="15" xfId="1" applyFont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1" fillId="0" borderId="8" xfId="6" applyBorder="1"/>
    <xf numFmtId="0" fontId="1" fillId="0" borderId="9" xfId="6" applyBorder="1"/>
    <xf numFmtId="0" fontId="4" fillId="4" borderId="2" xfId="0" applyFont="1" applyFill="1" applyBorder="1"/>
    <xf numFmtId="0" fontId="4" fillId="4" borderId="4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0" fillId="0" borderId="12" xfId="6" applyFont="1" applyBorder="1"/>
    <xf numFmtId="0" fontId="4" fillId="4" borderId="1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13" fillId="5" borderId="8" xfId="0" applyFont="1" applyFill="1" applyBorder="1" applyAlignment="1">
      <alignment wrapText="1"/>
    </xf>
    <xf numFmtId="0" fontId="14" fillId="0" borderId="8" xfId="0" applyFont="1" applyBorder="1" applyAlignment="1">
      <alignment wrapText="1"/>
    </xf>
    <xf numFmtId="164" fontId="0" fillId="0" borderId="16" xfId="0" applyNumberFormat="1" applyBorder="1"/>
    <xf numFmtId="164" fontId="0" fillId="0" borderId="14" xfId="0" applyNumberFormat="1" applyBorder="1"/>
    <xf numFmtId="2" fontId="0" fillId="0" borderId="16" xfId="0" applyNumberFormat="1" applyBorder="1"/>
    <xf numFmtId="2" fontId="0" fillId="0" borderId="15" xfId="0" applyNumberFormat="1" applyBorder="1"/>
    <xf numFmtId="2" fontId="0" fillId="0" borderId="14" xfId="0" applyNumberFormat="1" applyBorder="1"/>
    <xf numFmtId="0" fontId="16" fillId="0" borderId="0" xfId="0" applyFont="1"/>
    <xf numFmtId="0" fontId="4" fillId="4" borderId="7" xfId="0" applyFont="1" applyFill="1" applyBorder="1"/>
    <xf numFmtId="0" fontId="4" fillId="4" borderId="0" xfId="0" applyFont="1" applyFill="1" applyBorder="1"/>
    <xf numFmtId="164" fontId="16" fillId="0" borderId="8" xfId="0" applyNumberFormat="1" applyFont="1" applyBorder="1"/>
    <xf numFmtId="0" fontId="4" fillId="2" borderId="9" xfId="1" applyFont="1" applyBorder="1"/>
    <xf numFmtId="0" fontId="5" fillId="0" borderId="19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7" fillId="3" borderId="18" xfId="0" applyFont="1" applyFill="1" applyBorder="1" applyAlignment="1">
      <alignment wrapText="1"/>
    </xf>
    <xf numFmtId="0" fontId="5" fillId="0" borderId="18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5" fillId="0" borderId="21" xfId="0" applyFont="1" applyBorder="1" applyAlignment="1">
      <alignment wrapText="1"/>
    </xf>
    <xf numFmtId="164" fontId="16" fillId="0" borderId="1" xfId="0" applyNumberFormat="1" applyFont="1" applyBorder="1"/>
    <xf numFmtId="0" fontId="16" fillId="0" borderId="14" xfId="0" applyFont="1" applyBorder="1"/>
    <xf numFmtId="0" fontId="15" fillId="0" borderId="14" xfId="0" applyFont="1" applyBorder="1"/>
    <xf numFmtId="0" fontId="5" fillId="0" borderId="2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3" borderId="7" xfId="0" applyFont="1" applyFill="1" applyBorder="1" applyAlignment="1">
      <alignment wrapText="1"/>
    </xf>
    <xf numFmtId="0" fontId="8" fillId="0" borderId="7" xfId="0" applyFont="1" applyBorder="1" applyAlignment="1">
      <alignment wrapText="1"/>
    </xf>
    <xf numFmtId="164" fontId="12" fillId="0" borderId="0" xfId="0" applyNumberFormat="1" applyFont="1" applyBorder="1" applyAlignment="1">
      <alignment horizontal="left" wrapText="1"/>
    </xf>
    <xf numFmtId="164" fontId="13" fillId="5" borderId="0" xfId="0" applyNumberFormat="1" applyFont="1" applyFill="1" applyBorder="1" applyAlignment="1">
      <alignment horizontal="left" wrapText="1"/>
    </xf>
    <xf numFmtId="164" fontId="14" fillId="0" borderId="0" xfId="0" applyNumberFormat="1" applyFont="1" applyBorder="1" applyAlignment="1">
      <alignment horizontal="left" wrapText="1"/>
    </xf>
    <xf numFmtId="164" fontId="5" fillId="0" borderId="20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2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wrapText="1"/>
    </xf>
    <xf numFmtId="164" fontId="6" fillId="0" borderId="6" xfId="0" applyNumberFormat="1" applyFont="1" applyBorder="1" applyAlignment="1">
      <alignment horizontal="right" wrapText="1"/>
    </xf>
    <xf numFmtId="164" fontId="16" fillId="0" borderId="0" xfId="0" applyNumberFormat="1" applyFont="1" applyBorder="1"/>
    <xf numFmtId="164" fontId="6" fillId="0" borderId="8" xfId="0" applyNumberFormat="1" applyFont="1" applyBorder="1" applyAlignment="1">
      <alignment wrapText="1"/>
    </xf>
    <xf numFmtId="164" fontId="7" fillId="3" borderId="8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164" fontId="5" fillId="0" borderId="5" xfId="0" applyNumberFormat="1" applyFont="1" applyBorder="1" applyAlignment="1">
      <alignment wrapText="1"/>
    </xf>
    <xf numFmtId="164" fontId="8" fillId="0" borderId="8" xfId="0" applyNumberFormat="1" applyFont="1" applyBorder="1" applyAlignment="1">
      <alignment wrapText="1"/>
    </xf>
    <xf numFmtId="164" fontId="6" fillId="0" borderId="24" xfId="0" applyNumberFormat="1" applyFont="1" applyBorder="1" applyAlignment="1">
      <alignment wrapText="1"/>
    </xf>
    <xf numFmtId="164" fontId="6" fillId="0" borderId="2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wrapText="1"/>
    </xf>
    <xf numFmtId="164" fontId="8" fillId="0" borderId="6" xfId="0" applyNumberFormat="1" applyFont="1" applyBorder="1" applyAlignment="1">
      <alignment horizontal="right" wrapText="1"/>
    </xf>
    <xf numFmtId="164" fontId="16" fillId="0" borderId="14" xfId="0" applyNumberFormat="1" applyFont="1" applyBorder="1"/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164" fontId="7" fillId="3" borderId="0" xfId="0" applyNumberFormat="1" applyFont="1" applyFill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5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164" fontId="6" fillId="0" borderId="8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64" fontId="16" fillId="0" borderId="9" xfId="0" applyNumberFormat="1" applyFont="1" applyBorder="1"/>
    <xf numFmtId="164" fontId="15" fillId="0" borderId="0" xfId="0" applyNumberFormat="1" applyFont="1" applyBorder="1"/>
    <xf numFmtId="0" fontId="0" fillId="0" borderId="17" xfId="6" applyFont="1" applyBorder="1"/>
    <xf numFmtId="164" fontId="15" fillId="0" borderId="2" xfId="0" applyNumberFormat="1" applyFont="1" applyBorder="1"/>
    <xf numFmtId="164" fontId="15" fillId="0" borderId="10" xfId="0" applyNumberFormat="1" applyFont="1" applyBorder="1"/>
    <xf numFmtId="165" fontId="0" fillId="0" borderId="10" xfId="0" applyNumberFormat="1" applyBorder="1" applyAlignment="1"/>
    <xf numFmtId="165" fontId="0" fillId="0" borderId="11" xfId="0" applyNumberFormat="1" applyBorder="1" applyAlignment="1"/>
    <xf numFmtId="165" fontId="0" fillId="0" borderId="14" xfId="0" applyNumberFormat="1" applyBorder="1"/>
    <xf numFmtId="164" fontId="15" fillId="0" borderId="14" xfId="0" applyNumberFormat="1" applyFont="1" applyBorder="1"/>
    <xf numFmtId="0" fontId="5" fillId="0" borderId="25" xfId="0" applyFont="1" applyBorder="1" applyAlignment="1">
      <alignment wrapText="1"/>
    </xf>
    <xf numFmtId="165" fontId="0" fillId="0" borderId="16" xfId="0" applyNumberFormat="1" applyBorder="1"/>
    <xf numFmtId="165" fontId="0" fillId="0" borderId="15" xfId="0" applyNumberFormat="1" applyBorder="1"/>
    <xf numFmtId="164" fontId="12" fillId="0" borderId="8" xfId="0" applyNumberFormat="1" applyFont="1" applyBorder="1" applyAlignment="1">
      <alignment horizontal="left" wrapText="1"/>
    </xf>
    <xf numFmtId="164" fontId="12" fillId="0" borderId="7" xfId="0" applyNumberFormat="1" applyFont="1" applyBorder="1" applyAlignment="1">
      <alignment horizontal="left" wrapText="1"/>
    </xf>
    <xf numFmtId="164" fontId="13" fillId="5" borderId="8" xfId="0" applyNumberFormat="1" applyFont="1" applyFill="1" applyBorder="1" applyAlignment="1">
      <alignment horizontal="left" wrapText="1"/>
    </xf>
    <xf numFmtId="164" fontId="13" fillId="5" borderId="7" xfId="0" applyNumberFormat="1" applyFont="1" applyFill="1" applyBorder="1" applyAlignment="1">
      <alignment horizontal="left" wrapText="1"/>
    </xf>
    <xf numFmtId="164" fontId="14" fillId="0" borderId="7" xfId="0" applyNumberFormat="1" applyFont="1" applyBorder="1" applyAlignment="1">
      <alignment horizontal="left" wrapText="1"/>
    </xf>
    <xf numFmtId="164" fontId="14" fillId="0" borderId="8" xfId="0" applyNumberFormat="1" applyFont="1" applyBorder="1" applyAlignment="1">
      <alignment horizontal="left" wrapText="1"/>
    </xf>
    <xf numFmtId="164" fontId="11" fillId="0" borderId="8" xfId="0" applyNumberFormat="1" applyFont="1" applyBorder="1" applyAlignment="1">
      <alignment horizontal="left"/>
    </xf>
    <xf numFmtId="164" fontId="11" fillId="0" borderId="0" xfId="0" applyNumberFormat="1" applyFont="1" applyBorder="1" applyAlignment="1">
      <alignment horizontal="left"/>
    </xf>
    <xf numFmtId="164" fontId="11" fillId="0" borderId="7" xfId="0" applyNumberFormat="1" applyFont="1" applyBorder="1" applyAlignment="1">
      <alignment horizontal="left"/>
    </xf>
    <xf numFmtId="0" fontId="4" fillId="2" borderId="8" xfId="1" applyFont="1" applyBorder="1"/>
    <xf numFmtId="0" fontId="4" fillId="2" borderId="7" xfId="1" applyFont="1" applyBorder="1"/>
    <xf numFmtId="0" fontId="4" fillId="2" borderId="10" xfId="1" applyFont="1" applyBorder="1"/>
    <xf numFmtId="0" fontId="4" fillId="2" borderId="11" xfId="1" applyFont="1" applyBorder="1" applyAlignment="1">
      <alignment wrapText="1"/>
    </xf>
    <xf numFmtId="0" fontId="4" fillId="2" borderId="11" xfId="1" applyFont="1" applyBorder="1"/>
    <xf numFmtId="0" fontId="17" fillId="2" borderId="0" xfId="1" applyFont="1" applyBorder="1"/>
    <xf numFmtId="0" fontId="18" fillId="2" borderId="7" xfId="1" applyFont="1" applyBorder="1"/>
    <xf numFmtId="164" fontId="5" fillId="0" borderId="9" xfId="0" applyNumberFormat="1" applyFont="1" applyBorder="1" applyAlignment="1">
      <alignment wrapText="1"/>
    </xf>
    <xf numFmtId="164" fontId="6" fillId="0" borderId="10" xfId="0" applyNumberFormat="1" applyFont="1" applyBorder="1" applyAlignment="1">
      <alignment wrapText="1"/>
    </xf>
    <xf numFmtId="164" fontId="5" fillId="0" borderId="25" xfId="0" applyNumberFormat="1" applyFont="1" applyBorder="1" applyAlignment="1">
      <alignment wrapText="1"/>
    </xf>
    <xf numFmtId="164" fontId="6" fillId="0" borderId="26" xfId="0" applyNumberFormat="1" applyFont="1" applyBorder="1" applyAlignment="1">
      <alignment horizontal="right" wrapText="1"/>
    </xf>
    <xf numFmtId="0" fontId="12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164" fontId="16" fillId="0" borderId="16" xfId="0" applyNumberFormat="1" applyFont="1" applyBorder="1"/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165" fontId="0" fillId="0" borderId="16" xfId="0" applyNumberFormat="1" applyBorder="1" applyAlignment="1"/>
    <xf numFmtId="165" fontId="0" fillId="0" borderId="14" xfId="0" applyNumberFormat="1" applyBorder="1" applyAlignment="1"/>
    <xf numFmtId="165" fontId="0" fillId="0" borderId="15" xfId="0" applyNumberFormat="1" applyBorder="1" applyAlignment="1"/>
    <xf numFmtId="0" fontId="0" fillId="0" borderId="0" xfId="0" applyAlignment="1">
      <alignment horizontal="left" indent="2"/>
    </xf>
    <xf numFmtId="0" fontId="3" fillId="0" borderId="0" xfId="0" applyFont="1"/>
    <xf numFmtId="0" fontId="0" fillId="0" borderId="0" xfId="0" applyAlignment="1">
      <alignment horizontal="right"/>
    </xf>
    <xf numFmtId="0" fontId="20" fillId="0" borderId="0" xfId="0" applyFont="1"/>
    <xf numFmtId="0" fontId="0" fillId="0" borderId="0" xfId="0" applyAlignment="1"/>
    <xf numFmtId="0" fontId="3" fillId="0" borderId="0" xfId="0" applyFont="1" applyAlignment="1"/>
    <xf numFmtId="0" fontId="22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0" fillId="0" borderId="0" xfId="0" applyNumberFormat="1"/>
    <xf numFmtId="166" fontId="0" fillId="0" borderId="0" xfId="0" applyNumberFormat="1"/>
    <xf numFmtId="0" fontId="2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</cellXfs>
  <cellStyles count="10">
    <cellStyle name="Followed Hyperlink" xfId="3" builtinId="9" hidden="1"/>
    <cellStyle name="Followed Hyperlink" xfId="5" builtinId="9" hidden="1"/>
    <cellStyle name="Followed Hyperlink" xfId="8" builtinId="9" hidden="1"/>
    <cellStyle name="Hyperlink" xfId="2" builtinId="8" hidden="1"/>
    <cellStyle name="Hyperlink" xfId="4" builtinId="8" hidden="1"/>
    <cellStyle name="Hyperlink" xfId="7" builtinId="8" hidden="1"/>
    <cellStyle name="Neutral" xfId="1" builtinId="28"/>
    <cellStyle name="Neutral 2" xfId="9" xr:uid="{BAC4C536-D98B-4809-A15A-10F9B745A204}"/>
    <cellStyle name="Normal" xfId="0" builtinId="0"/>
    <cellStyle name="Normal 2" xfId="6" xr:uid="{00000000-0005-0000-0000-000008000000}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>
          <fgColor indexed="64"/>
          <bgColor theme="0"/>
        </patternFill>
      </fill>
    </dxf>
    <dxf>
      <numFmt numFmtId="0" formatCode="General"/>
    </dxf>
    <dxf>
      <alignment horizontal="general" vertical="bottom" textRotation="0" wrapText="0" justifyLastLine="0" shrinkToFit="0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6F1A985-AEE6-49E6-81CE-FD6DB6CA16AF}" name="Table7" displayName="Table7" ref="A5:B10" totalsRowShown="0">
  <autoFilter ref="A5:B10" xr:uid="{00000000-0009-0000-0100-000007000000}"/>
  <tableColumns count="2">
    <tableColumn id="1" xr3:uid="{00000000-0010-0000-0500-000001000000}" name="Neurlogical/Psychiatric Condition"/>
    <tableColumn id="2" xr3:uid="{00000000-0010-0000-0500-000002000000}" name="n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51B1B1B-1459-4122-BD81-BB2F4E84F6F8}" name="Table9" displayName="Table9" ref="A15:B21" totalsRowShown="0">
  <autoFilter ref="A15:B21" xr:uid="{00000000-0009-0000-0100-000009000000}"/>
  <tableColumns count="2">
    <tableColumn id="1" xr3:uid="{00000000-0010-0000-0700-000001000000}" name="Anxiety Disorder"/>
    <tableColumn id="2" xr3:uid="{00000000-0010-0000-0700-000002000000}" name="n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3C94975-3018-4662-A5F3-A9FA54B4E385}" name="Table10" displayName="Table10" ref="A27:B32" totalsRowShown="0">
  <autoFilter ref="A27:B32" xr:uid="{00000000-0009-0000-0100-00000A000000}"/>
  <tableColumns count="2">
    <tableColumn id="1" xr3:uid="{00000000-0010-0000-0800-000001000000}" name="Symptoms"/>
    <tableColumn id="2" xr3:uid="{00000000-0010-0000-0800-000002000000}" name="n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3F6C2D2-D4A8-4ED9-94D6-6AD773681A46}" name="Table1113" displayName="Table1113" ref="F5:G19" totalsRowShown="0">
  <autoFilter ref="F5:G19" xr:uid="{00000000-0009-0000-0100-00000C000000}"/>
  <tableColumns count="2">
    <tableColumn id="1" xr3:uid="{00000000-0010-0000-0A00-000001000000}" name="Level"/>
    <tableColumn id="2" xr3:uid="{00000000-0010-0000-0A00-000002000000}" name="Count (n=260)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7ABB46B-C42E-45FF-A987-CBDA1127B8E2}" name="Table15" displayName="Table15" ref="A37:D43" totalsRowShown="0">
  <autoFilter ref="A37:D43" xr:uid="{00000000-0009-0000-0100-00000F000000}"/>
  <tableColumns count="4">
    <tableColumn id="1" xr3:uid="{00000000-0010-0000-0D00-000001000000}" name="Strain/Products"/>
    <tableColumn id="2" xr3:uid="{00000000-0010-0000-0D00-000002000000}" name="n"/>
    <tableColumn id="3" xr3:uid="{00000000-0010-0000-0D00-000003000000}" name="Strain/Products2" dataDxfId="0" dataCellStyle="Input"/>
    <tableColumn id="4" xr3:uid="{00000000-0010-0000-0D00-000004000000}" name="n2" dataDxfId="1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2D1642-9BA2-4C79-B5B1-BCF6D8ACAB69}" name="Table1" displayName="Table1" ref="A4:B19" totalsRowShown="0">
  <autoFilter ref="A4:B19" xr:uid="{00000000-0009-0000-0100-000001000000}"/>
  <tableColumns count="2">
    <tableColumn id="1" xr3:uid="{00000000-0010-0000-0000-000001000000}" name="Sex and Age "/>
    <tableColumn id="2" xr3:uid="{00000000-0010-0000-0000-000002000000}" name="n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8CC3E2-B294-4641-B615-8D4C17C01523}" name="Table2" displayName="Table2" ref="A23:B39" totalsRowShown="0">
  <autoFilter ref="A23:B39" xr:uid="{00000000-0009-0000-0100-000002000000}"/>
  <tableColumns count="2">
    <tableColumn id="1" xr3:uid="{00000000-0010-0000-0100-000001000000}" name="Years"/>
    <tableColumn id="2" xr3:uid="{00000000-0010-0000-0100-000002000000}" name="Count (n=442)" dataDxfId="2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429632-A2A8-4027-9748-46B4E7CA281D}" name="Table57" displayName="Table57" ref="A44:B55" totalsRowShown="0">
  <autoFilter ref="A44:B55" xr:uid="{00000000-0009-0000-0100-000006000000}"/>
  <tableColumns count="2">
    <tableColumn id="1" xr3:uid="{00000000-0010-0000-0200-000001000000}" name="Health Rate"/>
    <tableColumn id="2" xr3:uid="{00000000-0010-0000-0200-000002000000}" name="Count (n= 442)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48F416-2553-498B-A895-F134C7D3F098}" name="Table18" displayName="Table18" ref="A59:B68" totalsRowShown="0">
  <autoFilter ref="A59:B68" xr:uid="{00000000-0009-0000-0100-000012000000}"/>
  <tableColumns count="2">
    <tableColumn id="1" xr3:uid="{00000000-0010-0000-0300-000001000000}" name="Source"/>
    <tableColumn id="2" xr3:uid="{00000000-0010-0000-0300-000002000000}" name="Count (n= 442)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832D5B7-9804-4F1F-9A99-26CA1EC9C455}" name="Table1921" displayName="Table1921" ref="A73:B94" totalsRowShown="0">
  <autoFilter ref="A73:B94" xr:uid="{00000000-0009-0000-0100-000014000000}"/>
  <tableColumns count="2">
    <tableColumn id="1" xr3:uid="{00000000-0010-0000-0400-000001000000}" name="Sex"/>
    <tableColumn id="2" xr3:uid="{00000000-0010-0000-0400-000002000000}" name="Count (n=442)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2DFB-0220-40A0-ACC8-9423A032FE21}">
  <dimension ref="A3:R57"/>
  <sheetViews>
    <sheetView zoomScale="87" zoomScaleNormal="87" workbookViewId="0">
      <selection activeCell="G16" sqref="G16"/>
    </sheetView>
  </sheetViews>
  <sheetFormatPr defaultColWidth="10.625" defaultRowHeight="15.75" x14ac:dyDescent="0.25"/>
  <cols>
    <col min="1" max="1" width="30.375" customWidth="1"/>
    <col min="2" max="3" width="31.875" customWidth="1"/>
    <col min="4" max="4" width="18.5" customWidth="1"/>
    <col min="5" max="5" width="13.625" customWidth="1"/>
    <col min="6" max="6" width="15.625" customWidth="1"/>
    <col min="7" max="7" width="17.125" customWidth="1"/>
    <col min="8" max="24" width="3.625" customWidth="1"/>
  </cols>
  <sheetData>
    <row r="3" spans="1:18" x14ac:dyDescent="0.25">
      <c r="A3" s="172" t="s">
        <v>172</v>
      </c>
      <c r="F3" s="172" t="s">
        <v>171</v>
      </c>
      <c r="P3" s="172"/>
    </row>
    <row r="5" spans="1:18" x14ac:dyDescent="0.25">
      <c r="A5" t="s">
        <v>165</v>
      </c>
      <c r="B5" s="182" t="s">
        <v>70</v>
      </c>
      <c r="C5" s="182"/>
      <c r="F5" t="s">
        <v>152</v>
      </c>
      <c r="G5" t="s">
        <v>151</v>
      </c>
      <c r="K5" s="172"/>
    </row>
    <row r="6" spans="1:18" x14ac:dyDescent="0.25">
      <c r="A6" t="s">
        <v>160</v>
      </c>
      <c r="B6">
        <v>67</v>
      </c>
      <c r="F6">
        <v>0</v>
      </c>
      <c r="G6">
        <v>0</v>
      </c>
      <c r="I6">
        <v>1</v>
      </c>
      <c r="J6">
        <v>2</v>
      </c>
      <c r="K6">
        <v>3</v>
      </c>
      <c r="L6">
        <v>3</v>
      </c>
      <c r="M6">
        <v>4</v>
      </c>
      <c r="N6">
        <v>4</v>
      </c>
      <c r="O6">
        <v>4</v>
      </c>
      <c r="P6">
        <v>4</v>
      </c>
      <c r="Q6">
        <v>5</v>
      </c>
      <c r="R6">
        <v>5</v>
      </c>
    </row>
    <row r="7" spans="1:18" x14ac:dyDescent="0.25">
      <c r="A7" t="s">
        <v>164</v>
      </c>
      <c r="B7">
        <v>46</v>
      </c>
      <c r="F7">
        <v>1</v>
      </c>
      <c r="G7">
        <v>1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</row>
    <row r="8" spans="1:18" x14ac:dyDescent="0.25">
      <c r="A8" t="s">
        <v>163</v>
      </c>
      <c r="B8">
        <v>30</v>
      </c>
      <c r="F8">
        <v>2</v>
      </c>
      <c r="G8">
        <v>1</v>
      </c>
      <c r="I8">
        <v>5</v>
      </c>
      <c r="J8">
        <v>5</v>
      </c>
      <c r="K8">
        <v>6</v>
      </c>
      <c r="L8">
        <v>6</v>
      </c>
      <c r="M8">
        <v>6</v>
      </c>
      <c r="N8">
        <v>6</v>
      </c>
      <c r="O8">
        <v>6</v>
      </c>
      <c r="P8">
        <v>6</v>
      </c>
      <c r="Q8">
        <v>6</v>
      </c>
      <c r="R8">
        <v>6</v>
      </c>
    </row>
    <row r="9" spans="1:18" x14ac:dyDescent="0.25">
      <c r="A9" t="s">
        <v>162</v>
      </c>
      <c r="B9">
        <v>27</v>
      </c>
      <c r="F9">
        <v>3</v>
      </c>
      <c r="G9">
        <v>2</v>
      </c>
      <c r="I9">
        <v>6</v>
      </c>
      <c r="J9">
        <v>6</v>
      </c>
      <c r="K9">
        <v>6</v>
      </c>
      <c r="L9">
        <v>7</v>
      </c>
      <c r="M9">
        <v>7</v>
      </c>
      <c r="N9">
        <v>7</v>
      </c>
      <c r="O9">
        <v>7</v>
      </c>
      <c r="P9">
        <v>7</v>
      </c>
      <c r="Q9">
        <v>7</v>
      </c>
      <c r="R9">
        <v>7</v>
      </c>
    </row>
    <row r="10" spans="1:18" x14ac:dyDescent="0.25">
      <c r="A10" t="s">
        <v>161</v>
      </c>
      <c r="B10">
        <v>8</v>
      </c>
      <c r="F10">
        <v>4</v>
      </c>
      <c r="G10">
        <v>4</v>
      </c>
      <c r="I10">
        <v>7</v>
      </c>
      <c r="J10">
        <v>7</v>
      </c>
      <c r="K10">
        <v>7</v>
      </c>
      <c r="L10">
        <v>7</v>
      </c>
      <c r="M10">
        <v>7</v>
      </c>
      <c r="N10">
        <v>7</v>
      </c>
      <c r="O10">
        <v>7</v>
      </c>
      <c r="P10">
        <v>7</v>
      </c>
      <c r="Q10">
        <v>7</v>
      </c>
      <c r="R10">
        <v>7</v>
      </c>
    </row>
    <row r="11" spans="1:18" x14ac:dyDescent="0.25">
      <c r="F11">
        <v>5</v>
      </c>
      <c r="G11">
        <v>14</v>
      </c>
      <c r="I11">
        <v>7</v>
      </c>
      <c r="J11">
        <v>7</v>
      </c>
      <c r="K11">
        <v>7</v>
      </c>
      <c r="L11">
        <v>7</v>
      </c>
      <c r="M11">
        <v>7</v>
      </c>
      <c r="N11">
        <v>7</v>
      </c>
      <c r="O11">
        <v>7</v>
      </c>
      <c r="P11">
        <v>7</v>
      </c>
      <c r="Q11">
        <v>7</v>
      </c>
      <c r="R11">
        <v>7</v>
      </c>
    </row>
    <row r="12" spans="1:18" x14ac:dyDescent="0.25">
      <c r="F12">
        <v>6</v>
      </c>
      <c r="G12">
        <v>11</v>
      </c>
      <c r="I12">
        <v>7</v>
      </c>
      <c r="J12">
        <v>7</v>
      </c>
      <c r="K12">
        <v>7</v>
      </c>
      <c r="L12">
        <v>7</v>
      </c>
      <c r="M12">
        <v>7</v>
      </c>
      <c r="N12">
        <v>7</v>
      </c>
      <c r="O12">
        <v>7</v>
      </c>
      <c r="P12">
        <v>7</v>
      </c>
      <c r="Q12">
        <v>7</v>
      </c>
      <c r="R12">
        <v>7</v>
      </c>
    </row>
    <row r="13" spans="1:18" x14ac:dyDescent="0.25">
      <c r="A13" s="172" t="s">
        <v>173</v>
      </c>
      <c r="B13" s="172"/>
      <c r="C13" s="172"/>
      <c r="D13" s="172"/>
      <c r="F13">
        <v>7</v>
      </c>
      <c r="G13">
        <v>43</v>
      </c>
      <c r="I13">
        <v>7</v>
      </c>
      <c r="J13">
        <v>7</v>
      </c>
      <c r="K13">
        <v>7</v>
      </c>
      <c r="L13">
        <v>7</v>
      </c>
      <c r="M13">
        <v>7</v>
      </c>
      <c r="N13">
        <v>7</v>
      </c>
      <c r="O13">
        <v>8</v>
      </c>
      <c r="P13">
        <v>8</v>
      </c>
      <c r="Q13">
        <v>8</v>
      </c>
      <c r="R13">
        <v>8</v>
      </c>
    </row>
    <row r="14" spans="1:18" x14ac:dyDescent="0.25">
      <c r="F14">
        <v>8</v>
      </c>
      <c r="G14">
        <v>82</v>
      </c>
      <c r="I14">
        <v>8</v>
      </c>
      <c r="J14">
        <v>8</v>
      </c>
      <c r="K14">
        <v>8</v>
      </c>
      <c r="L14">
        <v>8</v>
      </c>
      <c r="M14">
        <v>8</v>
      </c>
      <c r="N14">
        <v>8</v>
      </c>
      <c r="O14">
        <v>8</v>
      </c>
      <c r="P14">
        <v>8</v>
      </c>
      <c r="Q14">
        <v>8</v>
      </c>
      <c r="R14">
        <v>8</v>
      </c>
    </row>
    <row r="15" spans="1:18" x14ac:dyDescent="0.25">
      <c r="A15" t="s">
        <v>160</v>
      </c>
      <c r="B15" t="s">
        <v>70</v>
      </c>
      <c r="F15">
        <v>9</v>
      </c>
      <c r="G15">
        <v>51</v>
      </c>
      <c r="I15">
        <v>8</v>
      </c>
      <c r="J15">
        <v>8</v>
      </c>
      <c r="K15">
        <v>8</v>
      </c>
      <c r="L15">
        <v>8</v>
      </c>
      <c r="M15">
        <v>8</v>
      </c>
      <c r="N15">
        <v>8</v>
      </c>
      <c r="O15">
        <v>8</v>
      </c>
      <c r="P15">
        <v>8</v>
      </c>
      <c r="Q15">
        <v>8</v>
      </c>
      <c r="R15">
        <v>8</v>
      </c>
    </row>
    <row r="16" spans="1:18" x14ac:dyDescent="0.25">
      <c r="A16" t="s">
        <v>159</v>
      </c>
      <c r="B16">
        <v>41</v>
      </c>
      <c r="F16">
        <v>10</v>
      </c>
      <c r="G16">
        <v>51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  <c r="O16">
        <v>8</v>
      </c>
      <c r="P16">
        <v>8</v>
      </c>
      <c r="Q16">
        <v>8</v>
      </c>
      <c r="R16">
        <v>8</v>
      </c>
    </row>
    <row r="17" spans="1:18" x14ac:dyDescent="0.25">
      <c r="A17" t="s">
        <v>158</v>
      </c>
      <c r="B17">
        <v>30</v>
      </c>
      <c r="F17" t="s">
        <v>48</v>
      </c>
      <c r="G17">
        <f>AVERAGE(I6:R31)</f>
        <v>8.0269230769230777</v>
      </c>
      <c r="I17">
        <v>8</v>
      </c>
      <c r="J17">
        <v>8</v>
      </c>
      <c r="K17">
        <v>8</v>
      </c>
      <c r="L17">
        <v>8</v>
      </c>
      <c r="M17">
        <v>8</v>
      </c>
      <c r="N17">
        <v>8</v>
      </c>
      <c r="O17">
        <v>8</v>
      </c>
      <c r="P17">
        <v>8</v>
      </c>
      <c r="Q17">
        <v>8</v>
      </c>
      <c r="R17">
        <v>8</v>
      </c>
    </row>
    <row r="18" spans="1:18" x14ac:dyDescent="0.25">
      <c r="A18" t="s">
        <v>157</v>
      </c>
      <c r="B18">
        <v>24</v>
      </c>
      <c r="F18" t="s">
        <v>145</v>
      </c>
      <c r="G18">
        <f>_xlfn.STDEV.P(I6:R31)</f>
        <v>1.6014555139976911</v>
      </c>
      <c r="I18">
        <v>8</v>
      </c>
      <c r="J18">
        <v>8</v>
      </c>
      <c r="K18">
        <v>8</v>
      </c>
      <c r="L18">
        <v>8</v>
      </c>
      <c r="M18">
        <v>8</v>
      </c>
      <c r="N18">
        <v>8</v>
      </c>
      <c r="O18">
        <v>8</v>
      </c>
      <c r="P18">
        <v>8</v>
      </c>
      <c r="Q18">
        <v>8</v>
      </c>
      <c r="R18">
        <v>8</v>
      </c>
    </row>
    <row r="19" spans="1:18" x14ac:dyDescent="0.25">
      <c r="A19" t="s">
        <v>156</v>
      </c>
      <c r="B19">
        <v>13</v>
      </c>
      <c r="F19" t="s">
        <v>144</v>
      </c>
      <c r="G19">
        <f>G18/SQRT(260)</f>
        <v>9.9318054817564019E-2</v>
      </c>
      <c r="I19">
        <v>8</v>
      </c>
      <c r="J19">
        <v>8</v>
      </c>
      <c r="K19">
        <v>8</v>
      </c>
      <c r="L19">
        <v>8</v>
      </c>
      <c r="M19">
        <v>8</v>
      </c>
      <c r="N19">
        <v>8</v>
      </c>
      <c r="O19">
        <v>8</v>
      </c>
      <c r="P19">
        <v>8</v>
      </c>
      <c r="Q19">
        <v>8</v>
      </c>
      <c r="R19">
        <v>8</v>
      </c>
    </row>
    <row r="20" spans="1:18" x14ac:dyDescent="0.25">
      <c r="A20" t="s">
        <v>155</v>
      </c>
      <c r="B20">
        <v>11</v>
      </c>
      <c r="G20" s="181"/>
      <c r="I20">
        <v>8</v>
      </c>
      <c r="J20">
        <v>8</v>
      </c>
      <c r="K20">
        <v>8</v>
      </c>
      <c r="L20">
        <v>8</v>
      </c>
      <c r="M20">
        <v>8</v>
      </c>
      <c r="N20">
        <v>8</v>
      </c>
      <c r="O20">
        <v>8</v>
      </c>
      <c r="P20">
        <v>8</v>
      </c>
      <c r="Q20">
        <v>8</v>
      </c>
      <c r="R20">
        <v>8</v>
      </c>
    </row>
    <row r="21" spans="1:18" x14ac:dyDescent="0.25">
      <c r="A21" t="s">
        <v>154</v>
      </c>
      <c r="B21">
        <v>13</v>
      </c>
      <c r="I21">
        <v>8</v>
      </c>
      <c r="J21">
        <v>8</v>
      </c>
      <c r="K21">
        <v>8</v>
      </c>
      <c r="L21">
        <v>8</v>
      </c>
      <c r="M21">
        <v>8</v>
      </c>
      <c r="N21">
        <v>8</v>
      </c>
      <c r="O21">
        <v>8</v>
      </c>
      <c r="P21">
        <v>8</v>
      </c>
      <c r="Q21">
        <v>9</v>
      </c>
      <c r="R21">
        <v>9</v>
      </c>
    </row>
    <row r="22" spans="1:18" x14ac:dyDescent="0.25">
      <c r="I22">
        <v>9</v>
      </c>
      <c r="J22">
        <v>9</v>
      </c>
      <c r="K22">
        <v>9</v>
      </c>
      <c r="L22">
        <v>9</v>
      </c>
      <c r="M22">
        <v>9</v>
      </c>
      <c r="N22">
        <v>9</v>
      </c>
      <c r="O22">
        <v>9</v>
      </c>
      <c r="P22">
        <v>9</v>
      </c>
      <c r="Q22">
        <v>9</v>
      </c>
      <c r="R22">
        <v>9</v>
      </c>
    </row>
    <row r="23" spans="1:18" s="172" customFormat="1" x14ac:dyDescent="0.25">
      <c r="A23"/>
      <c r="B23"/>
      <c r="C23"/>
      <c r="D23"/>
      <c r="F23"/>
      <c r="G23"/>
      <c r="H23"/>
      <c r="I23">
        <v>9</v>
      </c>
      <c r="J23">
        <v>9</v>
      </c>
      <c r="K23">
        <v>9</v>
      </c>
      <c r="L23">
        <v>9</v>
      </c>
      <c r="M23">
        <v>9</v>
      </c>
      <c r="N23">
        <v>9</v>
      </c>
      <c r="O23">
        <v>9</v>
      </c>
      <c r="P23">
        <v>9</v>
      </c>
      <c r="Q23">
        <v>9</v>
      </c>
      <c r="R23">
        <v>9</v>
      </c>
    </row>
    <row r="24" spans="1:18" x14ac:dyDescent="0.25">
      <c r="I24">
        <v>9</v>
      </c>
      <c r="J24">
        <v>9</v>
      </c>
      <c r="K24">
        <v>9</v>
      </c>
      <c r="L24">
        <v>9</v>
      </c>
      <c r="M24">
        <v>9</v>
      </c>
      <c r="N24">
        <v>9</v>
      </c>
      <c r="O24">
        <v>9</v>
      </c>
      <c r="P24">
        <v>9</v>
      </c>
      <c r="Q24">
        <v>9</v>
      </c>
      <c r="R24">
        <v>9</v>
      </c>
    </row>
    <row r="25" spans="1:18" x14ac:dyDescent="0.25">
      <c r="A25" s="172" t="s">
        <v>170</v>
      </c>
      <c r="I25">
        <v>9</v>
      </c>
      <c r="J25">
        <v>9</v>
      </c>
      <c r="K25">
        <v>9</v>
      </c>
      <c r="L25">
        <v>9</v>
      </c>
      <c r="M25">
        <v>9</v>
      </c>
      <c r="N25">
        <v>9</v>
      </c>
      <c r="O25">
        <v>9</v>
      </c>
      <c r="P25">
        <v>9</v>
      </c>
      <c r="Q25">
        <v>9</v>
      </c>
      <c r="R25">
        <v>9</v>
      </c>
    </row>
    <row r="26" spans="1:18" x14ac:dyDescent="0.25">
      <c r="I26">
        <v>9</v>
      </c>
      <c r="J26">
        <v>9</v>
      </c>
      <c r="K26">
        <v>9</v>
      </c>
      <c r="L26">
        <v>9</v>
      </c>
      <c r="M26">
        <v>9</v>
      </c>
      <c r="N26">
        <v>9</v>
      </c>
      <c r="O26">
        <v>9</v>
      </c>
      <c r="P26">
        <v>9</v>
      </c>
      <c r="Q26">
        <v>9</v>
      </c>
      <c r="R26">
        <v>10</v>
      </c>
    </row>
    <row r="27" spans="1:18" x14ac:dyDescent="0.25">
      <c r="A27" t="s">
        <v>153</v>
      </c>
      <c r="B27" t="s">
        <v>70</v>
      </c>
      <c r="I27">
        <v>10</v>
      </c>
      <c r="J27">
        <v>10</v>
      </c>
      <c r="K27">
        <v>10</v>
      </c>
      <c r="L27">
        <v>10</v>
      </c>
      <c r="M27">
        <v>10</v>
      </c>
      <c r="N27">
        <v>10</v>
      </c>
      <c r="O27">
        <v>10</v>
      </c>
      <c r="P27">
        <v>10</v>
      </c>
      <c r="Q27">
        <v>10</v>
      </c>
      <c r="R27">
        <v>10</v>
      </c>
    </row>
    <row r="28" spans="1:18" x14ac:dyDescent="0.25">
      <c r="A28" t="s">
        <v>150</v>
      </c>
      <c r="B28">
        <v>339</v>
      </c>
      <c r="I28">
        <v>10</v>
      </c>
      <c r="J28">
        <v>10</v>
      </c>
      <c r="K28">
        <v>10</v>
      </c>
      <c r="L28">
        <v>10</v>
      </c>
      <c r="M28">
        <v>10</v>
      </c>
      <c r="N28">
        <v>10</v>
      </c>
      <c r="O28">
        <v>10</v>
      </c>
      <c r="P28">
        <v>10</v>
      </c>
      <c r="Q28">
        <v>10</v>
      </c>
      <c r="R28">
        <v>10</v>
      </c>
    </row>
    <row r="29" spans="1:18" x14ac:dyDescent="0.25">
      <c r="A29" t="s">
        <v>149</v>
      </c>
      <c r="B29">
        <v>277</v>
      </c>
      <c r="I29">
        <v>10</v>
      </c>
      <c r="J29">
        <v>10</v>
      </c>
      <c r="K29">
        <v>10</v>
      </c>
      <c r="L29">
        <v>10</v>
      </c>
      <c r="M29">
        <v>10</v>
      </c>
      <c r="N29">
        <v>10</v>
      </c>
      <c r="O29">
        <v>10</v>
      </c>
      <c r="P29">
        <v>10</v>
      </c>
      <c r="Q29">
        <v>10</v>
      </c>
      <c r="R29">
        <v>10</v>
      </c>
    </row>
    <row r="30" spans="1:18" x14ac:dyDescent="0.25">
      <c r="A30" t="s">
        <v>148</v>
      </c>
      <c r="B30">
        <v>266</v>
      </c>
      <c r="I30">
        <v>10</v>
      </c>
      <c r="J30">
        <v>10</v>
      </c>
      <c r="K30">
        <v>10</v>
      </c>
      <c r="L30">
        <v>10</v>
      </c>
      <c r="M30">
        <v>10</v>
      </c>
      <c r="N30">
        <v>10</v>
      </c>
      <c r="O30">
        <v>10</v>
      </c>
      <c r="P30">
        <v>10</v>
      </c>
      <c r="Q30">
        <v>10</v>
      </c>
      <c r="R30">
        <v>10</v>
      </c>
    </row>
    <row r="31" spans="1:18" x14ac:dyDescent="0.25">
      <c r="A31" t="s">
        <v>147</v>
      </c>
      <c r="B31">
        <v>221</v>
      </c>
      <c r="I31">
        <v>10</v>
      </c>
      <c r="J31">
        <v>10</v>
      </c>
      <c r="K31">
        <v>10</v>
      </c>
      <c r="L31">
        <v>10</v>
      </c>
      <c r="M31">
        <v>10</v>
      </c>
      <c r="N31">
        <v>10</v>
      </c>
      <c r="O31">
        <v>10</v>
      </c>
      <c r="P31">
        <v>10</v>
      </c>
      <c r="Q31">
        <v>10</v>
      </c>
      <c r="R31">
        <v>10</v>
      </c>
    </row>
    <row r="32" spans="1:18" x14ac:dyDescent="0.25">
      <c r="A32" t="s">
        <v>146</v>
      </c>
      <c r="B32">
        <v>191</v>
      </c>
    </row>
    <row r="34" spans="1:4" x14ac:dyDescent="0.25">
      <c r="A34" s="172" t="s">
        <v>169</v>
      </c>
    </row>
    <row r="36" spans="1:4" x14ac:dyDescent="0.25">
      <c r="A36" t="s">
        <v>167</v>
      </c>
      <c r="C36" t="s">
        <v>166</v>
      </c>
    </row>
    <row r="37" spans="1:4" x14ac:dyDescent="0.25">
      <c r="A37" t="s">
        <v>143</v>
      </c>
      <c r="B37" t="s">
        <v>70</v>
      </c>
      <c r="C37" t="s">
        <v>142</v>
      </c>
      <c r="D37" t="s">
        <v>141</v>
      </c>
    </row>
    <row r="38" spans="1:4" x14ac:dyDescent="0.25">
      <c r="A38" t="s">
        <v>168</v>
      </c>
      <c r="B38">
        <v>44</v>
      </c>
      <c r="C38" t="s">
        <v>45</v>
      </c>
      <c r="D38">
        <v>22</v>
      </c>
    </row>
    <row r="39" spans="1:4" x14ac:dyDescent="0.25">
      <c r="A39" t="s">
        <v>43</v>
      </c>
      <c r="B39">
        <v>39</v>
      </c>
      <c r="C39" t="s">
        <v>140</v>
      </c>
      <c r="D39">
        <v>16</v>
      </c>
    </row>
    <row r="40" spans="1:4" x14ac:dyDescent="0.25">
      <c r="A40" t="s">
        <v>46</v>
      </c>
      <c r="B40">
        <v>36</v>
      </c>
      <c r="C40" t="s">
        <v>47</v>
      </c>
      <c r="D40">
        <v>16</v>
      </c>
    </row>
    <row r="41" spans="1:4" x14ac:dyDescent="0.25">
      <c r="A41" t="s">
        <v>44</v>
      </c>
      <c r="B41">
        <v>33</v>
      </c>
      <c r="C41" t="s">
        <v>139</v>
      </c>
      <c r="D41">
        <v>15</v>
      </c>
    </row>
    <row r="42" spans="1:4" x14ac:dyDescent="0.25">
      <c r="A42" t="s">
        <v>127</v>
      </c>
      <c r="B42">
        <v>46</v>
      </c>
      <c r="C42" t="s">
        <v>127</v>
      </c>
      <c r="D42">
        <v>65</v>
      </c>
    </row>
    <row r="43" spans="1:4" x14ac:dyDescent="0.25">
      <c r="C43" s="180"/>
      <c r="D43" s="180"/>
    </row>
    <row r="57" spans="1:1" x14ac:dyDescent="0.25">
      <c r="A57" s="172"/>
    </row>
  </sheetData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BC806-0E87-4B12-A3F4-F2EEADE1882E}">
  <dimension ref="A2:D94"/>
  <sheetViews>
    <sheetView topLeftCell="A43" workbookViewId="0">
      <selection activeCell="TA21" sqref="TA21"/>
    </sheetView>
  </sheetViews>
  <sheetFormatPr defaultColWidth="10.625" defaultRowHeight="15.75" x14ac:dyDescent="0.25"/>
  <cols>
    <col min="1" max="1" width="33" customWidth="1"/>
    <col min="2" max="2" width="31.125" customWidth="1"/>
    <col min="3" max="7" width="11" customWidth="1"/>
  </cols>
  <sheetData>
    <row r="2" spans="1:4" x14ac:dyDescent="0.25">
      <c r="A2" s="172" t="s">
        <v>138</v>
      </c>
    </row>
    <row r="4" spans="1:4" x14ac:dyDescent="0.25">
      <c r="A4" t="s">
        <v>137</v>
      </c>
      <c r="B4" s="179" t="s">
        <v>70</v>
      </c>
      <c r="D4" s="178"/>
    </row>
    <row r="5" spans="1:4" ht="18.75" x14ac:dyDescent="0.3">
      <c r="A5" s="177" t="s">
        <v>101</v>
      </c>
      <c r="B5" s="177">
        <v>267</v>
      </c>
    </row>
    <row r="6" spans="1:4" x14ac:dyDescent="0.25">
      <c r="A6" s="171" t="s">
        <v>136</v>
      </c>
      <c r="B6">
        <v>4</v>
      </c>
    </row>
    <row r="7" spans="1:4" x14ac:dyDescent="0.25">
      <c r="A7" s="171" t="s">
        <v>135</v>
      </c>
      <c r="B7">
        <v>109</v>
      </c>
    </row>
    <row r="8" spans="1:4" x14ac:dyDescent="0.25">
      <c r="A8" s="171" t="s">
        <v>133</v>
      </c>
      <c r="B8">
        <v>113</v>
      </c>
    </row>
    <row r="9" spans="1:4" x14ac:dyDescent="0.25">
      <c r="A9" s="171" t="s">
        <v>132</v>
      </c>
      <c r="B9">
        <v>41</v>
      </c>
    </row>
    <row r="10" spans="1:4" x14ac:dyDescent="0.25">
      <c r="A10" s="171" t="s">
        <v>134</v>
      </c>
      <c r="B10">
        <v>0</v>
      </c>
    </row>
    <row r="11" spans="1:4" ht="18.75" x14ac:dyDescent="0.3">
      <c r="A11" s="177" t="s">
        <v>102</v>
      </c>
      <c r="B11" s="177">
        <v>173</v>
      </c>
    </row>
    <row r="12" spans="1:4" x14ac:dyDescent="0.25">
      <c r="A12" s="171" t="s">
        <v>136</v>
      </c>
      <c r="B12">
        <v>0</v>
      </c>
    </row>
    <row r="13" spans="1:4" x14ac:dyDescent="0.25">
      <c r="A13" s="171" t="s">
        <v>135</v>
      </c>
      <c r="B13">
        <v>56</v>
      </c>
    </row>
    <row r="14" spans="1:4" x14ac:dyDescent="0.25">
      <c r="A14" s="171" t="s">
        <v>133</v>
      </c>
      <c r="B14">
        <v>82</v>
      </c>
    </row>
    <row r="15" spans="1:4" x14ac:dyDescent="0.25">
      <c r="A15" s="171" t="s">
        <v>132</v>
      </c>
      <c r="B15">
        <v>34</v>
      </c>
    </row>
    <row r="16" spans="1:4" x14ac:dyDescent="0.25">
      <c r="A16" s="171" t="s">
        <v>134</v>
      </c>
      <c r="B16">
        <v>1</v>
      </c>
    </row>
    <row r="17" spans="1:2" ht="18.75" x14ac:dyDescent="0.3">
      <c r="A17" s="177" t="s">
        <v>100</v>
      </c>
      <c r="B17" s="177">
        <v>2</v>
      </c>
    </row>
    <row r="18" spans="1:2" x14ac:dyDescent="0.25">
      <c r="A18" s="171" t="s">
        <v>133</v>
      </c>
      <c r="B18">
        <v>1</v>
      </c>
    </row>
    <row r="19" spans="1:2" x14ac:dyDescent="0.25">
      <c r="A19" s="171" t="s">
        <v>132</v>
      </c>
      <c r="B19">
        <v>1</v>
      </c>
    </row>
    <row r="21" spans="1:2" x14ac:dyDescent="0.25">
      <c r="A21" s="172" t="s">
        <v>131</v>
      </c>
    </row>
    <row r="23" spans="1:2" x14ac:dyDescent="0.25">
      <c r="A23" t="s">
        <v>130</v>
      </c>
      <c r="B23" s="174" t="s">
        <v>129</v>
      </c>
    </row>
    <row r="24" spans="1:2" x14ac:dyDescent="0.25">
      <c r="A24" s="172" t="s">
        <v>128</v>
      </c>
      <c r="B24" s="176">
        <v>166</v>
      </c>
    </row>
    <row r="25" spans="1:2" x14ac:dyDescent="0.25">
      <c r="A25" s="171" t="s">
        <v>122</v>
      </c>
      <c r="B25" s="175">
        <v>81</v>
      </c>
    </row>
    <row r="26" spans="1:2" x14ac:dyDescent="0.25">
      <c r="A26" s="171" t="s">
        <v>121</v>
      </c>
      <c r="B26" s="175">
        <v>83</v>
      </c>
    </row>
    <row r="27" spans="1:2" x14ac:dyDescent="0.25">
      <c r="A27" s="171" t="s">
        <v>127</v>
      </c>
      <c r="B27" s="175">
        <v>2</v>
      </c>
    </row>
    <row r="28" spans="1:2" x14ac:dyDescent="0.25">
      <c r="A28" s="172" t="s">
        <v>126</v>
      </c>
      <c r="B28" s="176">
        <v>152</v>
      </c>
    </row>
    <row r="29" spans="1:2" x14ac:dyDescent="0.25">
      <c r="A29" s="171" t="s">
        <v>122</v>
      </c>
      <c r="B29" s="175">
        <v>98</v>
      </c>
    </row>
    <row r="30" spans="1:2" x14ac:dyDescent="0.25">
      <c r="A30" s="171" t="s">
        <v>121</v>
      </c>
      <c r="B30" s="175">
        <v>54</v>
      </c>
    </row>
    <row r="31" spans="1:2" x14ac:dyDescent="0.25">
      <c r="A31" s="172" t="s">
        <v>125</v>
      </c>
      <c r="B31" s="176">
        <v>26</v>
      </c>
    </row>
    <row r="32" spans="1:2" x14ac:dyDescent="0.25">
      <c r="A32" s="171" t="s">
        <v>122</v>
      </c>
      <c r="B32" s="175">
        <v>17</v>
      </c>
    </row>
    <row r="33" spans="1:2" x14ac:dyDescent="0.25">
      <c r="A33" s="171" t="s">
        <v>121</v>
      </c>
      <c r="B33" s="175">
        <v>9</v>
      </c>
    </row>
    <row r="34" spans="1:2" x14ac:dyDescent="0.25">
      <c r="A34" s="172" t="s">
        <v>124</v>
      </c>
      <c r="B34" s="176">
        <v>33</v>
      </c>
    </row>
    <row r="35" spans="1:2" x14ac:dyDescent="0.25">
      <c r="A35" s="171" t="s">
        <v>122</v>
      </c>
      <c r="B35" s="175">
        <v>21</v>
      </c>
    </row>
    <row r="36" spans="1:2" x14ac:dyDescent="0.25">
      <c r="A36" s="171" t="s">
        <v>121</v>
      </c>
      <c r="B36" s="175">
        <v>12</v>
      </c>
    </row>
    <row r="37" spans="1:2" x14ac:dyDescent="0.25">
      <c r="A37" s="172" t="s">
        <v>123</v>
      </c>
      <c r="B37" s="176">
        <v>65</v>
      </c>
    </row>
    <row r="38" spans="1:2" x14ac:dyDescent="0.25">
      <c r="A38" s="171" t="s">
        <v>122</v>
      </c>
      <c r="B38" s="175">
        <v>50</v>
      </c>
    </row>
    <row r="39" spans="1:2" x14ac:dyDescent="0.25">
      <c r="A39" s="171" t="s">
        <v>121</v>
      </c>
      <c r="B39" s="175">
        <v>15</v>
      </c>
    </row>
    <row r="42" spans="1:2" x14ac:dyDescent="0.25">
      <c r="A42" s="172" t="s">
        <v>120</v>
      </c>
    </row>
    <row r="44" spans="1:2" x14ac:dyDescent="0.25">
      <c r="A44" t="s">
        <v>119</v>
      </c>
      <c r="B44" s="174" t="s">
        <v>118</v>
      </c>
    </row>
    <row r="45" spans="1:2" x14ac:dyDescent="0.25">
      <c r="A45">
        <v>1</v>
      </c>
      <c r="B45">
        <v>4</v>
      </c>
    </row>
    <row r="46" spans="1:2" x14ac:dyDescent="0.25">
      <c r="A46">
        <v>2</v>
      </c>
      <c r="B46">
        <v>9</v>
      </c>
    </row>
    <row r="47" spans="1:2" x14ac:dyDescent="0.25">
      <c r="A47">
        <v>3</v>
      </c>
      <c r="B47">
        <v>25</v>
      </c>
    </row>
    <row r="48" spans="1:2" x14ac:dyDescent="0.25">
      <c r="A48">
        <v>4</v>
      </c>
      <c r="B48">
        <v>32</v>
      </c>
    </row>
    <row r="49" spans="1:2" x14ac:dyDescent="0.25">
      <c r="A49">
        <v>5</v>
      </c>
      <c r="B49">
        <v>47</v>
      </c>
    </row>
    <row r="50" spans="1:2" x14ac:dyDescent="0.25">
      <c r="A50">
        <v>6</v>
      </c>
      <c r="B50">
        <v>75</v>
      </c>
    </row>
    <row r="51" spans="1:2" x14ac:dyDescent="0.25">
      <c r="A51">
        <v>7</v>
      </c>
      <c r="B51">
        <v>153</v>
      </c>
    </row>
    <row r="52" spans="1:2" x14ac:dyDescent="0.25">
      <c r="A52">
        <v>8</v>
      </c>
      <c r="B52">
        <v>78</v>
      </c>
    </row>
    <row r="53" spans="1:2" x14ac:dyDescent="0.25">
      <c r="A53">
        <v>9</v>
      </c>
      <c r="B53">
        <v>19</v>
      </c>
    </row>
    <row r="54" spans="1:2" x14ac:dyDescent="0.25">
      <c r="A54">
        <v>10</v>
      </c>
      <c r="B54">
        <v>0</v>
      </c>
    </row>
    <row r="55" spans="1:2" x14ac:dyDescent="0.25">
      <c r="A55" s="173" t="s">
        <v>117</v>
      </c>
      <c r="B55">
        <v>6.28</v>
      </c>
    </row>
    <row r="57" spans="1:2" x14ac:dyDescent="0.25">
      <c r="A57" s="172" t="s">
        <v>116</v>
      </c>
    </row>
    <row r="59" spans="1:2" x14ac:dyDescent="0.25">
      <c r="A59" t="s">
        <v>115</v>
      </c>
      <c r="B59" t="s">
        <v>114</v>
      </c>
    </row>
    <row r="60" spans="1:2" x14ac:dyDescent="0.25">
      <c r="A60" t="s">
        <v>113</v>
      </c>
      <c r="B60">
        <v>246</v>
      </c>
    </row>
    <row r="61" spans="1:2" x14ac:dyDescent="0.25">
      <c r="A61" t="s">
        <v>112</v>
      </c>
      <c r="B61">
        <v>188</v>
      </c>
    </row>
    <row r="62" spans="1:2" x14ac:dyDescent="0.25">
      <c r="A62" t="s">
        <v>111</v>
      </c>
      <c r="B62">
        <v>158</v>
      </c>
    </row>
    <row r="63" spans="1:2" x14ac:dyDescent="0.25">
      <c r="A63" t="s">
        <v>110</v>
      </c>
      <c r="B63">
        <v>155</v>
      </c>
    </row>
    <row r="64" spans="1:2" x14ac:dyDescent="0.25">
      <c r="A64" t="s">
        <v>109</v>
      </c>
      <c r="B64">
        <v>136</v>
      </c>
    </row>
    <row r="65" spans="1:2" x14ac:dyDescent="0.25">
      <c r="A65" t="s">
        <v>108</v>
      </c>
      <c r="B65">
        <v>112</v>
      </c>
    </row>
    <row r="66" spans="1:2" x14ac:dyDescent="0.25">
      <c r="A66" t="s">
        <v>107</v>
      </c>
      <c r="B66">
        <v>111</v>
      </c>
    </row>
    <row r="67" spans="1:2" x14ac:dyDescent="0.25">
      <c r="A67" t="s">
        <v>106</v>
      </c>
      <c r="B67">
        <v>58</v>
      </c>
    </row>
    <row r="71" spans="1:2" s="172" customFormat="1" x14ac:dyDescent="0.25">
      <c r="A71" s="172" t="s">
        <v>105</v>
      </c>
    </row>
    <row r="73" spans="1:2" x14ac:dyDescent="0.25">
      <c r="A73" t="s">
        <v>104</v>
      </c>
      <c r="B73" t="s">
        <v>103</v>
      </c>
    </row>
    <row r="74" spans="1:2" x14ac:dyDescent="0.25">
      <c r="A74" s="172" t="s">
        <v>102</v>
      </c>
      <c r="B74" s="172">
        <v>173</v>
      </c>
    </row>
    <row r="75" spans="1:2" x14ac:dyDescent="0.25">
      <c r="A75" s="171" t="s">
        <v>99</v>
      </c>
      <c r="B75">
        <v>2</v>
      </c>
    </row>
    <row r="76" spans="1:2" x14ac:dyDescent="0.25">
      <c r="A76" s="171" t="s">
        <v>98</v>
      </c>
      <c r="B76">
        <v>14</v>
      </c>
    </row>
    <row r="77" spans="1:2" x14ac:dyDescent="0.25">
      <c r="A77" s="171" t="s">
        <v>97</v>
      </c>
      <c r="B77">
        <v>11</v>
      </c>
    </row>
    <row r="78" spans="1:2" x14ac:dyDescent="0.25">
      <c r="A78" s="171" t="s">
        <v>96</v>
      </c>
      <c r="B78">
        <v>16</v>
      </c>
    </row>
    <row r="79" spans="1:2" x14ac:dyDescent="0.25">
      <c r="A79" s="171" t="s">
        <v>95</v>
      </c>
      <c r="B79">
        <v>31</v>
      </c>
    </row>
    <row r="80" spans="1:2" x14ac:dyDescent="0.25">
      <c r="A80" s="171" t="s">
        <v>94</v>
      </c>
      <c r="B80">
        <v>99</v>
      </c>
    </row>
    <row r="81" spans="1:2" x14ac:dyDescent="0.25">
      <c r="A81" s="172" t="s">
        <v>101</v>
      </c>
      <c r="B81" s="172">
        <v>267</v>
      </c>
    </row>
    <row r="82" spans="1:2" x14ac:dyDescent="0.25">
      <c r="A82" s="171" t="s">
        <v>99</v>
      </c>
      <c r="B82">
        <v>3</v>
      </c>
    </row>
    <row r="83" spans="1:2" x14ac:dyDescent="0.25">
      <c r="A83" s="171" t="s">
        <v>98</v>
      </c>
      <c r="B83">
        <v>7</v>
      </c>
    </row>
    <row r="84" spans="1:2" x14ac:dyDescent="0.25">
      <c r="A84" s="171" t="s">
        <v>97</v>
      </c>
      <c r="B84">
        <v>12</v>
      </c>
    </row>
    <row r="85" spans="1:2" x14ac:dyDescent="0.25">
      <c r="A85" s="171" t="s">
        <v>96</v>
      </c>
      <c r="B85">
        <v>27</v>
      </c>
    </row>
    <row r="86" spans="1:2" x14ac:dyDescent="0.25">
      <c r="A86" s="171" t="s">
        <v>95</v>
      </c>
      <c r="B86">
        <v>64</v>
      </c>
    </row>
    <row r="87" spans="1:2" x14ac:dyDescent="0.25">
      <c r="A87" s="171" t="s">
        <v>94</v>
      </c>
      <c r="B87">
        <v>154</v>
      </c>
    </row>
    <row r="88" spans="1:2" x14ac:dyDescent="0.25">
      <c r="A88" s="172" t="s">
        <v>100</v>
      </c>
      <c r="B88" s="172">
        <v>2</v>
      </c>
    </row>
    <row r="89" spans="1:2" x14ac:dyDescent="0.25">
      <c r="A89" s="171" t="s">
        <v>99</v>
      </c>
      <c r="B89">
        <v>0</v>
      </c>
    </row>
    <row r="90" spans="1:2" x14ac:dyDescent="0.25">
      <c r="A90" s="171" t="s">
        <v>98</v>
      </c>
      <c r="B90">
        <v>0</v>
      </c>
    </row>
    <row r="91" spans="1:2" x14ac:dyDescent="0.25">
      <c r="A91" s="171" t="s">
        <v>97</v>
      </c>
      <c r="B91">
        <v>0</v>
      </c>
    </row>
    <row r="92" spans="1:2" x14ac:dyDescent="0.25">
      <c r="A92" s="171" t="s">
        <v>96</v>
      </c>
      <c r="B92">
        <v>0</v>
      </c>
    </row>
    <row r="93" spans="1:2" x14ac:dyDescent="0.25">
      <c r="A93" s="171" t="s">
        <v>95</v>
      </c>
      <c r="B93">
        <v>0</v>
      </c>
    </row>
    <row r="94" spans="1:2" x14ac:dyDescent="0.25">
      <c r="A94" s="171" t="s">
        <v>94</v>
      </c>
      <c r="B94">
        <v>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6A57-53FC-439F-A4EC-795D868D95C4}">
  <sheetPr codeName="Sheet4"/>
  <dimension ref="A1:P40"/>
  <sheetViews>
    <sheetView zoomScaleNormal="100" workbookViewId="0">
      <selection activeCell="K5" sqref="K5:M8"/>
    </sheetView>
  </sheetViews>
  <sheetFormatPr defaultRowHeight="15.75" x14ac:dyDescent="0.25"/>
  <cols>
    <col min="1" max="1" width="24.375" customWidth="1"/>
    <col min="2" max="2" width="16.375" customWidth="1"/>
    <col min="3" max="3" width="12.875" customWidth="1"/>
    <col min="4" max="4" width="15.5" customWidth="1"/>
    <col min="5" max="5" width="14.25" customWidth="1"/>
    <col min="6" max="6" width="13" customWidth="1"/>
    <col min="7" max="7" width="11.5" customWidth="1"/>
    <col min="8" max="8" width="12.875" customWidth="1"/>
    <col min="9" max="9" width="14.25" customWidth="1"/>
    <col min="10" max="10" width="13.75" customWidth="1"/>
    <col min="11" max="11" width="14.625" customWidth="1"/>
    <col min="12" max="12" width="15" customWidth="1"/>
    <col min="13" max="13" width="13.375" customWidth="1"/>
    <col min="14" max="14" width="11.375" customWidth="1"/>
    <col min="15" max="15" width="14.75" customWidth="1"/>
    <col min="16" max="16" width="11.125" customWidth="1"/>
  </cols>
  <sheetData>
    <row r="1" spans="1:16" ht="16.5" thickBot="1" x14ac:dyDescent="0.3">
      <c r="B1" t="s">
        <v>55</v>
      </c>
      <c r="C1">
        <v>44</v>
      </c>
      <c r="E1" t="s">
        <v>55</v>
      </c>
      <c r="F1">
        <v>39</v>
      </c>
      <c r="H1" t="s">
        <v>55</v>
      </c>
      <c r="I1">
        <v>36</v>
      </c>
      <c r="K1" t="s">
        <v>55</v>
      </c>
      <c r="L1">
        <v>33</v>
      </c>
      <c r="M1" t="s">
        <v>55</v>
      </c>
    </row>
    <row r="2" spans="1:16" ht="16.5" thickBot="1" x14ac:dyDescent="0.3">
      <c r="A2" s="26" t="s">
        <v>64</v>
      </c>
      <c r="B2" s="6" t="s">
        <v>28</v>
      </c>
      <c r="C2" s="6" t="s">
        <v>29</v>
      </c>
      <c r="D2" s="6" t="s">
        <v>92</v>
      </c>
      <c r="E2" s="9" t="s">
        <v>30</v>
      </c>
      <c r="F2" s="9" t="s">
        <v>31</v>
      </c>
      <c r="G2" s="9" t="s">
        <v>32</v>
      </c>
      <c r="H2" s="52" t="s">
        <v>66</v>
      </c>
      <c r="I2" s="27" t="s">
        <v>67</v>
      </c>
      <c r="J2" s="53" t="s">
        <v>68</v>
      </c>
      <c r="K2" s="26" t="s">
        <v>38</v>
      </c>
      <c r="L2" s="27" t="s">
        <v>33</v>
      </c>
      <c r="M2" s="28" t="s">
        <v>34</v>
      </c>
      <c r="N2" s="42" t="s">
        <v>78</v>
      </c>
      <c r="O2" s="42" t="s">
        <v>80</v>
      </c>
      <c r="P2" s="42" t="s">
        <v>60</v>
      </c>
    </row>
    <row r="3" spans="1:16" ht="16.5" thickBot="1" x14ac:dyDescent="0.3">
      <c r="A3" s="25"/>
      <c r="B3" s="183" t="s">
        <v>93</v>
      </c>
      <c r="C3" s="184"/>
      <c r="D3" s="185"/>
      <c r="E3" s="183" t="s">
        <v>93</v>
      </c>
      <c r="F3" s="184"/>
      <c r="G3" s="185"/>
      <c r="H3" s="186" t="s">
        <v>65</v>
      </c>
      <c r="I3" s="187"/>
      <c r="J3" s="188"/>
      <c r="K3" s="183" t="s">
        <v>65</v>
      </c>
      <c r="L3" s="184"/>
      <c r="M3" s="185"/>
      <c r="N3" s="165" t="s">
        <v>65</v>
      </c>
      <c r="O3" s="166"/>
      <c r="P3" s="167"/>
    </row>
    <row r="4" spans="1:16" x14ac:dyDescent="0.25">
      <c r="A4" s="25" t="s">
        <v>41</v>
      </c>
      <c r="B4" s="43">
        <f>SUM(B11:B40)</f>
        <v>2.3050000000000002</v>
      </c>
      <c r="C4" s="44">
        <f>SUM(C11:C40)</f>
        <v>3.5009999999999999</v>
      </c>
      <c r="D4" s="45">
        <f>SUM(D11:D40)</f>
        <v>1.9569999999999996</v>
      </c>
      <c r="E4" s="43">
        <f t="shared" ref="E4:J4" si="0">SUM(E11:E40)</f>
        <v>2.1020000000000003</v>
      </c>
      <c r="F4" s="44">
        <f t="shared" si="0"/>
        <v>1.425</v>
      </c>
      <c r="G4" s="45">
        <f t="shared" si="0"/>
        <v>1.5169999999999999</v>
      </c>
      <c r="H4" s="44">
        <f t="shared" si="0"/>
        <v>1.427</v>
      </c>
      <c r="I4" s="44">
        <f t="shared" si="0"/>
        <v>1.5919999999999996</v>
      </c>
      <c r="J4" s="44">
        <f t="shared" si="0"/>
        <v>1.5449999999999999</v>
      </c>
      <c r="K4" s="43">
        <f>SUM(M11:M40)</f>
        <v>2.4869999999999997</v>
      </c>
      <c r="L4" s="44">
        <f>SUM(Q11:Q40)</f>
        <v>0</v>
      </c>
      <c r="M4" s="45">
        <f>SUM(L11:L40)</f>
        <v>1.7800000000000002</v>
      </c>
      <c r="N4" s="85">
        <f t="shared" ref="N4:N8" si="1">(B4*C$1+C4*C$1+D4*C$1+E4*F$1+F4*F$1+G4*F$1+K4*L$1+L4*L$1+M4*L$1+H4*I$1+I4*I$1+J4*I$1)/(C$1*3+F$1*3+L$1*3+I$1*3)</f>
        <v>1.8495679824561404</v>
      </c>
      <c r="O4" s="129">
        <f t="shared" ref="O4:O8" si="2">((C$1*(B4-N4)^2+C$1*(C4-N4)^2+C$1*(D4-N4)^2+F$1*(E4-N4)^2+F$1*(F4-N4)^2+F$1*(G4-N4)^2+L$1*(K4-N4)^2+L$1*(L4-N4)^2+L$1*(M4-N4)^2+I$1*(H4-N4)^2+I$1*(I4-N4)^2+I$1*(J4-N4)^2)/((11*(C$1*3+F$1*3+L$1*3+I$1*3))/12))^(0.5)</f>
        <v>0.82147454930121022</v>
      </c>
      <c r="P4" s="10">
        <f t="shared" ref="P4:P9" si="3">O4/(COUNT(B4:M4)^0.5)</f>
        <v>0.23713927608574012</v>
      </c>
    </row>
    <row r="5" spans="1:16" x14ac:dyDescent="0.25">
      <c r="A5" s="15" t="s">
        <v>49</v>
      </c>
      <c r="B5" s="46">
        <v>16.562950000000001</v>
      </c>
      <c r="C5" s="47">
        <v>19.42614</v>
      </c>
      <c r="D5" s="48">
        <v>21</v>
      </c>
      <c r="E5" s="46">
        <v>21.886524999999999</v>
      </c>
      <c r="F5" s="47">
        <v>14.462025000000001</v>
      </c>
      <c r="G5" s="48">
        <v>18.079999999999998</v>
      </c>
      <c r="H5" s="47">
        <v>13.3</v>
      </c>
      <c r="I5" s="47">
        <v>14.60429667</v>
      </c>
      <c r="J5" s="47">
        <v>12.8612325</v>
      </c>
      <c r="K5" s="46">
        <v>19.829999999999998</v>
      </c>
      <c r="L5" s="47">
        <v>24.166413330000001</v>
      </c>
      <c r="M5" s="48">
        <v>20.138059999999999</v>
      </c>
      <c r="N5" s="77">
        <f t="shared" si="1"/>
        <v>18.01366245616228</v>
      </c>
      <c r="O5" s="127">
        <f t="shared" si="2"/>
        <v>3.571206592336134</v>
      </c>
      <c r="P5" s="11">
        <f t="shared" si="3"/>
        <v>1.0309185437085167</v>
      </c>
    </row>
    <row r="6" spans="1:16" x14ac:dyDescent="0.25">
      <c r="A6" s="15" t="s">
        <v>50</v>
      </c>
      <c r="B6" s="46">
        <v>3.9079999999999997E-2</v>
      </c>
      <c r="C6" s="47">
        <v>4.60425E-2</v>
      </c>
      <c r="D6" s="48">
        <v>8.3930000000000005E-2</v>
      </c>
      <c r="E6" s="46">
        <v>5.3984999999999998E-2</v>
      </c>
      <c r="F6" s="47">
        <v>4.5714999999999999E-2</v>
      </c>
      <c r="G6" s="48">
        <v>1.95E-2</v>
      </c>
      <c r="H6" s="47">
        <v>0.41</v>
      </c>
      <c r="I6" s="47">
        <v>3.6746666669999997E-2</v>
      </c>
      <c r="J6" s="47">
        <v>3.28875E-2</v>
      </c>
      <c r="K6" s="46">
        <v>4.8849999999999998E-2</v>
      </c>
      <c r="L6" s="47">
        <v>5.262E-2</v>
      </c>
      <c r="M6" s="48">
        <v>4.8099999999999997E-2</v>
      </c>
      <c r="N6" s="77">
        <f t="shared" si="1"/>
        <v>7.5196820175701756E-2</v>
      </c>
      <c r="O6" s="127">
        <f t="shared" si="2"/>
        <v>0.10361360432293404</v>
      </c>
      <c r="P6" s="11">
        <f t="shared" si="3"/>
        <v>2.991067117377667E-2</v>
      </c>
    </row>
    <row r="7" spans="1:16" x14ac:dyDescent="0.25">
      <c r="A7" s="15" t="s">
        <v>51</v>
      </c>
      <c r="B7" s="46">
        <v>0.42395500000000003</v>
      </c>
      <c r="C7" s="47">
        <v>0.65293749999999995</v>
      </c>
      <c r="D7" s="48">
        <v>0.63800000000000001</v>
      </c>
      <c r="E7" s="46">
        <v>0.52391500000000002</v>
      </c>
      <c r="F7" s="47">
        <v>0.31047999999999998</v>
      </c>
      <c r="G7" s="48">
        <v>0.287935</v>
      </c>
      <c r="H7" s="47">
        <v>0.2016</v>
      </c>
      <c r="I7" s="47">
        <v>0.28802</v>
      </c>
      <c r="J7" s="47">
        <v>0.2557875</v>
      </c>
      <c r="K7" s="46">
        <v>1.46</v>
      </c>
      <c r="L7" s="47">
        <v>1.98817</v>
      </c>
      <c r="M7" s="48">
        <v>1.456315</v>
      </c>
      <c r="N7" s="77">
        <f t="shared" si="1"/>
        <v>0.67523862938596502</v>
      </c>
      <c r="O7" s="127">
        <f t="shared" si="2"/>
        <v>0.5618273172971282</v>
      </c>
      <c r="P7" s="11">
        <f t="shared" si="3"/>
        <v>0.16218557643979115</v>
      </c>
    </row>
    <row r="8" spans="1:16" ht="16.5" thickBot="1" x14ac:dyDescent="0.3">
      <c r="A8" s="16" t="s">
        <v>52</v>
      </c>
      <c r="B8" s="49">
        <v>0.15032000000000001</v>
      </c>
      <c r="C8" s="50">
        <v>0.16755249999999999</v>
      </c>
      <c r="D8" s="51">
        <v>0.16139999999999999</v>
      </c>
      <c r="E8" s="49">
        <v>0.23802000000000001</v>
      </c>
      <c r="F8" s="50">
        <v>0.14155000000000001</v>
      </c>
      <c r="G8" s="51">
        <v>0.123657</v>
      </c>
      <c r="H8" s="50">
        <v>0.1152</v>
      </c>
      <c r="I8" s="50">
        <v>0.14155000000000001</v>
      </c>
      <c r="J8" s="50">
        <v>0</v>
      </c>
      <c r="K8" s="49">
        <v>6.7000000000000004E-2</v>
      </c>
      <c r="L8" s="50">
        <v>8.77E-3</v>
      </c>
      <c r="M8" s="51">
        <v>0.1384091667</v>
      </c>
      <c r="N8" s="126">
        <f t="shared" si="1"/>
        <v>0.12505428837960528</v>
      </c>
      <c r="O8" s="130">
        <f t="shared" si="2"/>
        <v>6.5870520627099263E-2</v>
      </c>
      <c r="P8" s="17">
        <f t="shared" si="3"/>
        <v>1.9015181407858277E-2</v>
      </c>
    </row>
    <row r="9" spans="1:16" ht="16.5" thickBot="1" x14ac:dyDescent="0.3">
      <c r="A9" s="15" t="s">
        <v>58</v>
      </c>
      <c r="B9" s="49">
        <f>SUM(B4:B8)</f>
        <v>19.481304999999999</v>
      </c>
      <c r="C9" s="50">
        <f t="shared" ref="C9:F9" si="4">SUM(C4:C8)</f>
        <v>23.7936725</v>
      </c>
      <c r="D9" s="51">
        <f t="shared" si="4"/>
        <v>23.840330000000002</v>
      </c>
      <c r="E9" s="49">
        <f t="shared" si="4"/>
        <v>24.804444999999998</v>
      </c>
      <c r="F9" s="50">
        <f t="shared" si="4"/>
        <v>16.38477</v>
      </c>
      <c r="G9" s="51">
        <f t="shared" ref="G9" si="5">SUM(G4:G8)</f>
        <v>20.028092000000001</v>
      </c>
      <c r="H9" s="50">
        <f t="shared" ref="H9" si="6">SUM(H4:H8)</f>
        <v>15.453799999999999</v>
      </c>
      <c r="I9" s="50">
        <f t="shared" ref="I9" si="7">SUM(I4:I8)</f>
        <v>16.662613336669995</v>
      </c>
      <c r="J9" s="50">
        <f t="shared" ref="J9" si="8">SUM(J4:J8)</f>
        <v>14.694907499999999</v>
      </c>
      <c r="K9" s="136">
        <f t="shared" ref="K9" si="9">SUM(K4:K8)</f>
        <v>23.892849999999999</v>
      </c>
      <c r="L9" s="133">
        <f t="shared" ref="L9" si="10">SUM(L4:L8)</f>
        <v>26.215973330000001</v>
      </c>
      <c r="M9" s="137">
        <f t="shared" ref="M9" si="11">SUM(M4:M8)</f>
        <v>23.560884166700003</v>
      </c>
      <c r="N9" s="164">
        <f t="shared" ref="N9:N18" si="12">(B9*C$1+C9*C$1+D9*C$1+E9*F$1+F9*F$1+G9*F$1+K9*L$1+L9*L$1+M9*L$1+H9*I$1+I9*I$1+J9*I$1)/(C$1*3+F$1*3+L$1*3+I$1*3)</f>
        <v>20.738720176559692</v>
      </c>
      <c r="O9" s="134">
        <f>((C$1*(B9-N9)^2+C$1*(C9-N9)^2+C$1*(D9-N9)^2+F$1*(E9-N9)^2+F$1*(F9-N9)^2+F$1*(G9-N9)^2+L$1*(K9-N9)^2+L$1*(L9-N9)^2+L$1*(M9-N9)^2+I$1*(H9-N9)^2+I$1*(I9-N9)^2+I$1*(J9-N9)^2)/((11*(C$1*3+F$1*3+L$1*3+I$1*3))/12))^(0.5)</f>
        <v>4.0354103399552885</v>
      </c>
      <c r="P9" s="19">
        <f t="shared" si="3"/>
        <v>1.1649226230318925</v>
      </c>
    </row>
    <row r="10" spans="1:16" ht="16.5" thickBot="1" x14ac:dyDescent="0.3">
      <c r="A10" s="15"/>
      <c r="B10" s="189" t="s">
        <v>0</v>
      </c>
      <c r="C10" s="190"/>
      <c r="D10" s="191"/>
      <c r="E10" s="189" t="s">
        <v>0</v>
      </c>
      <c r="F10" s="190"/>
      <c r="G10" s="191"/>
      <c r="H10" s="189" t="s">
        <v>0</v>
      </c>
      <c r="I10" s="190"/>
      <c r="J10" s="191"/>
      <c r="K10" s="189" t="s">
        <v>0</v>
      </c>
      <c r="L10" s="190"/>
      <c r="M10" s="191"/>
      <c r="N10" s="168" t="s">
        <v>0</v>
      </c>
      <c r="O10" s="169"/>
      <c r="P10" s="170"/>
    </row>
    <row r="11" spans="1:16" ht="16.5" thickBot="1" x14ac:dyDescent="0.3">
      <c r="A11" s="79" t="s">
        <v>1</v>
      </c>
      <c r="B11" s="30">
        <v>2.1999999999999999E-2</v>
      </c>
      <c r="C11" s="31">
        <v>0.03</v>
      </c>
      <c r="D11" s="31">
        <v>0.03</v>
      </c>
      <c r="E11" s="117">
        <v>0.34</v>
      </c>
      <c r="F11" s="118">
        <v>0.34499999999999997</v>
      </c>
      <c r="G11" s="34">
        <v>0.61899999999999999</v>
      </c>
      <c r="H11" s="101">
        <v>7.0000000000000007E-2</v>
      </c>
      <c r="I11" s="102">
        <v>0.12</v>
      </c>
      <c r="J11" s="103">
        <v>0.189</v>
      </c>
      <c r="K11" s="158">
        <v>4.7E-2</v>
      </c>
      <c r="L11" s="159">
        <v>4.4999999999999998E-2</v>
      </c>
      <c r="M11" s="160">
        <v>5.8999999999999997E-2</v>
      </c>
      <c r="N11" s="77">
        <f t="shared" si="12"/>
        <v>0.16028728070175441</v>
      </c>
      <c r="O11" s="127">
        <f>((C$1*(B11-N11)^2+C$1*(C11-N11)^2+C$1*(D11-N11)^2+F$1*(E11-N11)^2+F$1*(F11-N11)^2+F$1*(G11-N11)^2+L$1*(K11-N11)^2+L$1*(L11-N11)^2+L$1*(M11-N11)^2+I$1*(H11-N11)^2+I$1*(I11-N11)^2+I$1*(J11-N11)^2)/((11*(C$1*3+F$1*3+L$1*3+I$1*3))/12))^(0.5)</f>
        <v>0.1876188195525875</v>
      </c>
      <c r="P11">
        <f t="shared" ref="P11:P40" si="13">O11/(COUNT(B11:M11)^0.5)</f>
        <v>5.416088798686311E-2</v>
      </c>
    </row>
    <row r="12" spans="1:16" ht="16.5" thickBot="1" x14ac:dyDescent="0.3">
      <c r="A12" s="80" t="s">
        <v>2</v>
      </c>
      <c r="B12" s="30">
        <v>1.2E-2</v>
      </c>
      <c r="C12" s="31">
        <v>1.4999999999999999E-2</v>
      </c>
      <c r="D12" s="31">
        <v>1.0999999999999999E-2</v>
      </c>
      <c r="E12" s="107">
        <v>1.2E-2</v>
      </c>
      <c r="F12" s="119">
        <v>0.01</v>
      </c>
      <c r="G12" s="32">
        <v>0</v>
      </c>
      <c r="H12" s="104">
        <v>8.0000000000000002E-3</v>
      </c>
      <c r="I12" s="105">
        <v>0.01</v>
      </c>
      <c r="J12" s="32">
        <v>8.0000000000000002E-3</v>
      </c>
      <c r="K12" s="14">
        <v>2.1000000000000001E-2</v>
      </c>
      <c r="L12" s="1">
        <v>0</v>
      </c>
      <c r="M12" s="95">
        <v>2.5000000000000001E-2</v>
      </c>
      <c r="N12" s="77">
        <f t="shared" si="12"/>
        <v>1.092982456140351E-2</v>
      </c>
      <c r="O12" s="127">
        <f t="shared" ref="O12:O40" si="14">((C$1*(B12-N12)^2+C$1*(C12-N12)^2+C$1*(D12-N12)^2+F$1*(E12-N12)^2+F$1*(F12-N12)^2+F$1*(G12-N12)^2+L$1*(K12-N12)^2+L$1*(L12-N12)^2+L$1*(M12-N12)^2+I$1*(H12-N12)^2+I$1*(I12-N12)^2+I$1*(J12-N12)^2)/((11*(C$1*3+F$1*3+L$1*3+I$1*3))/12))^(0.5)</f>
        <v>6.9150266973307083E-3</v>
      </c>
      <c r="P12">
        <f t="shared" si="13"/>
        <v>1.9961962625786667E-3</v>
      </c>
    </row>
    <row r="13" spans="1:16" ht="16.5" thickBot="1" x14ac:dyDescent="0.3">
      <c r="A13" s="80" t="s">
        <v>3</v>
      </c>
      <c r="B13" s="30">
        <v>5.7000000000000002E-2</v>
      </c>
      <c r="C13" s="31">
        <v>0</v>
      </c>
      <c r="D13" s="31">
        <v>6.9000000000000006E-2</v>
      </c>
      <c r="E13" s="107">
        <v>0.128</v>
      </c>
      <c r="F13" s="119">
        <v>0.122</v>
      </c>
      <c r="G13" s="32">
        <v>0</v>
      </c>
      <c r="H13" s="107">
        <v>0</v>
      </c>
      <c r="I13" s="31">
        <v>0</v>
      </c>
      <c r="J13" s="32">
        <v>0</v>
      </c>
      <c r="K13" s="14">
        <v>0.112</v>
      </c>
      <c r="L13" s="1">
        <v>0</v>
      </c>
      <c r="M13" s="95">
        <v>0</v>
      </c>
      <c r="N13" s="77">
        <f t="shared" si="12"/>
        <v>4.1644736842105269E-2</v>
      </c>
      <c r="O13" s="127">
        <f t="shared" si="14"/>
        <v>5.3468464241508799E-2</v>
      </c>
      <c r="P13">
        <f t="shared" si="13"/>
        <v>1.5435016111495493E-2</v>
      </c>
    </row>
    <row r="14" spans="1:16" ht="16.5" thickBot="1" x14ac:dyDescent="0.3">
      <c r="A14" s="80" t="s">
        <v>4</v>
      </c>
      <c r="B14" s="30">
        <v>3.5000000000000003E-2</v>
      </c>
      <c r="C14" s="31">
        <v>4.7E-2</v>
      </c>
      <c r="D14" s="31">
        <v>4.2999999999999997E-2</v>
      </c>
      <c r="E14" s="107">
        <v>7.9000000000000001E-2</v>
      </c>
      <c r="F14" s="119">
        <v>7.6999999999999999E-2</v>
      </c>
      <c r="G14" s="32">
        <v>0.15</v>
      </c>
      <c r="H14" s="104">
        <v>3.3000000000000002E-2</v>
      </c>
      <c r="I14" s="105">
        <v>5.0999999999999997E-2</v>
      </c>
      <c r="J14" s="32">
        <v>7.6999999999999999E-2</v>
      </c>
      <c r="K14" s="14">
        <v>6.8000000000000005E-2</v>
      </c>
      <c r="L14" s="1">
        <v>6.5000000000000002E-2</v>
      </c>
      <c r="M14" s="95">
        <v>8.5000000000000006E-2</v>
      </c>
      <c r="N14" s="77">
        <f t="shared" si="12"/>
        <v>6.6719298245614012E-2</v>
      </c>
      <c r="O14" s="127">
        <f t="shared" si="14"/>
        <v>3.212714238664359E-2</v>
      </c>
      <c r="P14">
        <f t="shared" si="13"/>
        <v>9.2743071526110565E-3</v>
      </c>
    </row>
    <row r="15" spans="1:16" ht="16.5" thickBot="1" x14ac:dyDescent="0.3">
      <c r="A15" s="80" t="s">
        <v>5</v>
      </c>
      <c r="B15" s="30">
        <v>0.16300000000000001</v>
      </c>
      <c r="C15" s="31">
        <v>0.28299999999999997</v>
      </c>
      <c r="D15" s="31">
        <v>0.13100000000000001</v>
      </c>
      <c r="E15" s="107">
        <v>0.52400000000000002</v>
      </c>
      <c r="F15" s="119">
        <v>0.26800000000000002</v>
      </c>
      <c r="G15" s="32">
        <v>0</v>
      </c>
      <c r="H15" s="104">
        <v>0.52800000000000002</v>
      </c>
      <c r="I15" s="105">
        <v>0.71899999999999997</v>
      </c>
      <c r="J15" s="32">
        <v>0.71299999999999997</v>
      </c>
      <c r="K15" s="14">
        <v>0.14699999999999999</v>
      </c>
      <c r="L15" s="1">
        <v>0.224</v>
      </c>
      <c r="M15" s="95">
        <v>0.19</v>
      </c>
      <c r="N15" s="77">
        <f t="shared" si="12"/>
        <v>0.31874780701754385</v>
      </c>
      <c r="O15" s="127">
        <f t="shared" si="14"/>
        <v>0.23526565457885834</v>
      </c>
      <c r="P15">
        <f t="shared" si="13"/>
        <v>6.7915344501088687E-2</v>
      </c>
    </row>
    <row r="16" spans="1:16" ht="27" thickBot="1" x14ac:dyDescent="0.3">
      <c r="A16" s="81" t="s">
        <v>72</v>
      </c>
      <c r="B16" s="30">
        <v>0</v>
      </c>
      <c r="C16" s="31">
        <v>0</v>
      </c>
      <c r="D16" s="31">
        <v>0</v>
      </c>
      <c r="E16" s="108">
        <v>0</v>
      </c>
      <c r="F16" s="120">
        <v>0</v>
      </c>
      <c r="G16" s="32">
        <v>0</v>
      </c>
      <c r="H16" s="108">
        <v>0</v>
      </c>
      <c r="I16" s="109">
        <v>0</v>
      </c>
      <c r="J16" s="32">
        <v>0</v>
      </c>
      <c r="K16" s="67">
        <v>0</v>
      </c>
      <c r="L16" s="2">
        <v>0</v>
      </c>
      <c r="M16" s="96">
        <v>0</v>
      </c>
      <c r="N16" s="77">
        <f t="shared" si="12"/>
        <v>0</v>
      </c>
      <c r="O16" s="127">
        <f t="shared" si="14"/>
        <v>0</v>
      </c>
      <c r="P16">
        <f t="shared" si="13"/>
        <v>0</v>
      </c>
    </row>
    <row r="17" spans="1:16" ht="16.5" thickBot="1" x14ac:dyDescent="0.3">
      <c r="A17" s="80" t="s">
        <v>6</v>
      </c>
      <c r="B17" s="30">
        <v>0</v>
      </c>
      <c r="C17" s="31">
        <v>0</v>
      </c>
      <c r="D17" s="31">
        <v>0</v>
      </c>
      <c r="E17" s="107">
        <v>0</v>
      </c>
      <c r="F17" s="119">
        <v>0</v>
      </c>
      <c r="G17" s="32">
        <v>0</v>
      </c>
      <c r="H17" s="107">
        <v>0</v>
      </c>
      <c r="I17" s="109">
        <v>0</v>
      </c>
      <c r="J17" s="32">
        <v>0</v>
      </c>
      <c r="K17" s="14">
        <v>0</v>
      </c>
      <c r="L17" s="1">
        <v>0</v>
      </c>
      <c r="M17" s="95">
        <v>0</v>
      </c>
      <c r="N17" s="77">
        <f t="shared" si="12"/>
        <v>0</v>
      </c>
      <c r="O17" s="127">
        <f t="shared" si="14"/>
        <v>0</v>
      </c>
      <c r="P17">
        <f t="shared" si="13"/>
        <v>0</v>
      </c>
    </row>
    <row r="18" spans="1:16" ht="16.5" thickBot="1" x14ac:dyDescent="0.3">
      <c r="A18" s="82" t="s">
        <v>7</v>
      </c>
      <c r="B18" s="30">
        <v>0.17299999999999999</v>
      </c>
      <c r="C18" s="31">
        <v>0.33700000000000002</v>
      </c>
      <c r="D18" s="31">
        <v>0.217</v>
      </c>
      <c r="E18" s="121">
        <v>8.8999999999999996E-2</v>
      </c>
      <c r="F18" s="122">
        <v>6.3E-2</v>
      </c>
      <c r="G18" s="32">
        <v>7.4999999999999997E-2</v>
      </c>
      <c r="H18" s="110">
        <v>8.8999999999999996E-2</v>
      </c>
      <c r="I18" s="105">
        <v>0.13500000000000001</v>
      </c>
      <c r="J18" s="32">
        <v>0.111</v>
      </c>
      <c r="K18" s="14">
        <v>0.38500000000000001</v>
      </c>
      <c r="L18" s="4">
        <v>0.39900000000000002</v>
      </c>
      <c r="M18" s="94">
        <v>0.52300000000000002</v>
      </c>
      <c r="N18" s="77">
        <f t="shared" si="12"/>
        <v>0.21059649122807014</v>
      </c>
      <c r="O18" s="127">
        <f t="shared" si="14"/>
        <v>0.1499699950403634</v>
      </c>
      <c r="P18">
        <f t="shared" si="13"/>
        <v>4.3292608503460325E-2</v>
      </c>
    </row>
    <row r="19" spans="1:16" ht="16.5" thickBot="1" x14ac:dyDescent="0.3">
      <c r="A19" s="80" t="s">
        <v>8</v>
      </c>
      <c r="B19" s="30">
        <v>0</v>
      </c>
      <c r="C19" s="31">
        <v>0</v>
      </c>
      <c r="D19" s="31">
        <v>0</v>
      </c>
      <c r="E19" s="107">
        <v>0</v>
      </c>
      <c r="F19" s="119">
        <v>1E-3</v>
      </c>
      <c r="G19" s="32" t="s">
        <v>75</v>
      </c>
      <c r="H19" s="107">
        <v>0</v>
      </c>
      <c r="I19" s="109">
        <v>0</v>
      </c>
      <c r="J19" s="32">
        <v>0</v>
      </c>
      <c r="K19" s="14">
        <v>0</v>
      </c>
      <c r="L19" s="1">
        <v>0</v>
      </c>
      <c r="M19" s="95">
        <v>0</v>
      </c>
      <c r="N19" s="77">
        <f>(B19*C$1+C19*C$1+D19*C$1+E19*F$1*1.5+F19*F$1*1.5+K19*L$1+L19*L$1+M19*L$1+H19*I$1+I19*I$1+J19*I$1)/(C$1*3+F$1*3+L$1*3+I$1*3)</f>
        <v>1.2828947368421053E-4</v>
      </c>
      <c r="O19" s="127">
        <f>((C$1*(B19-N19)^2+C$1*(C19-N19)^2+C$1*(D19-N19)^2+1.5*F$1*(E19-N19)^2+1.5*F$1*(F19-N19)^2+L$1*(K19-N19)^2+L$1*(L19-N19)^2+L$1*(M19-N19)^2+I$1*(H19-N19)^2+I$1*(I19-N19)^2+I$1*(J19-N19)^2)/((10*(C$1*3+F$1*3+L$1*3+I$1*3))/11))^(0.5)</f>
        <v>3.5073410596724497E-4</v>
      </c>
      <c r="P19">
        <f t="shared" si="13"/>
        <v>1.0575031187946386E-4</v>
      </c>
    </row>
    <row r="20" spans="1:16" ht="16.5" thickBot="1" x14ac:dyDescent="0.3">
      <c r="A20" s="80" t="s">
        <v>73</v>
      </c>
      <c r="B20" s="30">
        <v>0</v>
      </c>
      <c r="C20" s="31">
        <v>1.9E-2</v>
      </c>
      <c r="D20" s="31">
        <v>0</v>
      </c>
      <c r="E20" s="107">
        <v>3.1E-2</v>
      </c>
      <c r="F20" s="119">
        <v>0.01</v>
      </c>
      <c r="G20" s="32">
        <v>2.1000000000000001E-2</v>
      </c>
      <c r="H20" s="107">
        <v>0</v>
      </c>
      <c r="I20" s="31">
        <v>0</v>
      </c>
      <c r="J20" s="32">
        <v>0</v>
      </c>
      <c r="K20" s="14">
        <v>0</v>
      </c>
      <c r="L20" s="1">
        <v>0</v>
      </c>
      <c r="M20" s="95">
        <v>0</v>
      </c>
      <c r="N20" s="77">
        <f>(B20*C$1+C20*C$1+D20*C$1+E20*F$1+F20*F$1+G20*F$1+K20*L$1+L20*L$1+M20*L$1+H20*I$1+I20*I$1+J20*I$1)/(C$1*3+F$1*3+L$1*3+I$1*3)</f>
        <v>7.1359649122807014E-3</v>
      </c>
      <c r="O20" s="127">
        <f t="shared" si="14"/>
        <v>1.1071923430822085E-2</v>
      </c>
      <c r="P20">
        <f t="shared" si="13"/>
        <v>3.196188986616028E-3</v>
      </c>
    </row>
    <row r="21" spans="1:16" ht="16.5" thickBot="1" x14ac:dyDescent="0.3">
      <c r="A21" s="80" t="s">
        <v>9</v>
      </c>
      <c r="B21" s="30">
        <v>0.01</v>
      </c>
      <c r="C21" s="31">
        <v>1.2E-2</v>
      </c>
      <c r="D21" s="31">
        <v>4.0000000000000001E-3</v>
      </c>
      <c r="E21" s="107">
        <v>0</v>
      </c>
      <c r="F21" s="119">
        <v>2E-3</v>
      </c>
      <c r="G21" s="32">
        <v>0.13900000000000001</v>
      </c>
      <c r="H21" s="104">
        <v>0.01</v>
      </c>
      <c r="I21" s="105">
        <v>0.01</v>
      </c>
      <c r="J21" s="32">
        <v>0</v>
      </c>
      <c r="K21" s="14">
        <v>1.2E-2</v>
      </c>
      <c r="L21" s="1">
        <v>8.9999999999999993E-3</v>
      </c>
      <c r="M21" s="95">
        <v>1.4999999999999999E-2</v>
      </c>
      <c r="N21" s="77">
        <f>(B21*C$1+C21*C$1+D21*C$1+E21*F$1+F21*F$1+G21*F$1+K21*L$1+L21*L$1+M21*L$1+H21*I$1+I21*I$1+J21*I$1)/(C$1*3+F$1*3+L$1*3+I$1*3)</f>
        <v>1.8752192982456142E-2</v>
      </c>
      <c r="O21" s="127">
        <f t="shared" si="14"/>
        <v>3.8724119241392345E-2</v>
      </c>
      <c r="P21">
        <f t="shared" si="13"/>
        <v>1.117869033407452E-2</v>
      </c>
    </row>
    <row r="22" spans="1:16" ht="16.5" thickBot="1" x14ac:dyDescent="0.3">
      <c r="A22" s="83" t="s">
        <v>10</v>
      </c>
      <c r="B22" s="30">
        <v>0</v>
      </c>
      <c r="C22" s="31">
        <v>0</v>
      </c>
      <c r="D22" s="31">
        <v>0</v>
      </c>
      <c r="E22" s="111">
        <v>0</v>
      </c>
      <c r="F22" s="123">
        <v>1E-3</v>
      </c>
      <c r="G22" s="32" t="s">
        <v>75</v>
      </c>
      <c r="H22" s="111">
        <v>0</v>
      </c>
      <c r="I22" s="31">
        <v>0</v>
      </c>
      <c r="J22" s="32">
        <v>0</v>
      </c>
      <c r="K22" s="68">
        <v>0</v>
      </c>
      <c r="L22" s="3">
        <v>0</v>
      </c>
      <c r="M22" s="97">
        <v>0</v>
      </c>
      <c r="N22" s="77">
        <f>(B22*C$1+C22*C$1+D22*C$1+E22*F$1*1.5+F22*F$1*1.5+K22*L$1+L22*L$1+M22*L$1+H22*I$1+I22*I$1+J22*I$1)/(C$1*3+F$1*3+L$1*3+I$1*3)</f>
        <v>1.2828947368421053E-4</v>
      </c>
      <c r="O22" s="127">
        <f>((C$1*(B22-N22)^2+C$1*(C22-N22)^2+C$1*(D22-N22)^2+1.5*F$1*(E22-N22)^2+1.5*F$1*(F22-N22)^2+L$1*(K22-N22)^2+L$1*(L22-N22)^2+L$1*(M22-N22)^2+I$1*(H22-N22)^2+I$1*(I22-N22)^2+I$1*(J22-N22)^2)/((10*(C$1*3+F$1*3+L$1*3+I$1*3))/11))^(0.5)</f>
        <v>3.5073410596724497E-4</v>
      </c>
      <c r="P22">
        <f t="shared" si="13"/>
        <v>1.0575031187946386E-4</v>
      </c>
    </row>
    <row r="23" spans="1:16" ht="16.5" thickBot="1" x14ac:dyDescent="0.3">
      <c r="A23" s="83" t="s">
        <v>11</v>
      </c>
      <c r="B23" s="30">
        <v>0</v>
      </c>
      <c r="C23" s="31">
        <v>0</v>
      </c>
      <c r="D23" s="31">
        <v>0</v>
      </c>
      <c r="E23" s="111">
        <v>0</v>
      </c>
      <c r="F23" s="123">
        <v>1E-3</v>
      </c>
      <c r="G23" s="32" t="s">
        <v>75</v>
      </c>
      <c r="H23" s="111">
        <v>0</v>
      </c>
      <c r="I23" s="31">
        <v>0</v>
      </c>
      <c r="J23" s="32">
        <v>0</v>
      </c>
      <c r="K23" s="68">
        <v>0</v>
      </c>
      <c r="L23" s="3">
        <v>0</v>
      </c>
      <c r="M23" s="97">
        <v>0</v>
      </c>
      <c r="N23" s="77">
        <f>(B23*C$1+C23*C$1+D23*C$1+E23*F$1*1.5+F23*F$1*1.5+K23*L$1+L23*L$1+M23*L$1+H23*I$1+I23*I$1+J23*I$1)/(C$1*3+F$1*3+L$1*3+I$1*3)</f>
        <v>1.2828947368421053E-4</v>
      </c>
      <c r="O23" s="127">
        <f>((C$1*(B23-N23)^2+C$1*(C23-N23)^2+C$1*(D23-N23)^2+1.5*F$1*(E23-N23)^2+1.5*F$1*(F23-N23)^2+L$1*(K23-N23)^2+L$1*(L23-N23)^2+L$1*(M23-N23)^2+I$1*(H23-N23)^2+I$1*(I23-N23)^2+I$1*(J23-N23)^2)/((10*(C$1*3+F$1*3+L$1*3+I$1*3))/11))^(0.5)</f>
        <v>3.5073410596724497E-4</v>
      </c>
      <c r="P23">
        <f t="shared" si="13"/>
        <v>1.0575031187946386E-4</v>
      </c>
    </row>
    <row r="24" spans="1:16" ht="16.5" thickBot="1" x14ac:dyDescent="0.3">
      <c r="A24" s="83" t="s">
        <v>12</v>
      </c>
      <c r="B24" s="30">
        <v>0</v>
      </c>
      <c r="C24" s="31">
        <v>0</v>
      </c>
      <c r="D24" s="31">
        <v>2E-3</v>
      </c>
      <c r="E24" s="111">
        <v>0</v>
      </c>
      <c r="F24" s="123">
        <v>3.0000000000000001E-3</v>
      </c>
      <c r="G24" s="32">
        <v>0</v>
      </c>
      <c r="H24" s="111">
        <v>0</v>
      </c>
      <c r="I24" s="31">
        <v>0</v>
      </c>
      <c r="J24" s="32">
        <v>0</v>
      </c>
      <c r="K24" s="68">
        <v>0</v>
      </c>
      <c r="L24" s="3">
        <v>0</v>
      </c>
      <c r="M24" s="97">
        <v>0</v>
      </c>
      <c r="N24" s="77">
        <f t="shared" ref="N24:N36" si="15">(B24*C$1+C24*C$1+D24*C$1+E24*F$1+F24*F$1+G24*F$1+K24*L$1+L24*L$1+M24*L$1+H24*I$1+I24*I$1+J24*I$1)/(C$1*3+F$1*3+L$1*3+I$1*3)</f>
        <v>4.4956140350877198E-4</v>
      </c>
      <c r="O24" s="127">
        <f t="shared" si="14"/>
        <v>1.019944543337986E-3</v>
      </c>
      <c r="P24">
        <f t="shared" si="13"/>
        <v>2.9443262832733809E-4</v>
      </c>
    </row>
    <row r="25" spans="1:16" ht="16.5" thickBot="1" x14ac:dyDescent="0.3">
      <c r="A25" s="80" t="s">
        <v>13</v>
      </c>
      <c r="B25" s="30">
        <v>0.02</v>
      </c>
      <c r="C25" s="31">
        <v>1.9E-2</v>
      </c>
      <c r="D25" s="31">
        <v>1.2E-2</v>
      </c>
      <c r="E25" s="107">
        <v>1.2999999999999999E-2</v>
      </c>
      <c r="F25" s="119">
        <v>3.0000000000000001E-3</v>
      </c>
      <c r="G25" s="32">
        <v>0</v>
      </c>
      <c r="H25" s="104">
        <v>1.4E-2</v>
      </c>
      <c r="I25" s="105">
        <v>1.4E-2</v>
      </c>
      <c r="J25" s="112">
        <v>0</v>
      </c>
      <c r="K25" s="14">
        <v>2.7E-2</v>
      </c>
      <c r="L25" s="1">
        <v>1.2999999999999999E-2</v>
      </c>
      <c r="M25" s="95">
        <v>2.9000000000000001E-2</v>
      </c>
      <c r="N25" s="77">
        <f t="shared" si="15"/>
        <v>1.3493421052631576E-2</v>
      </c>
      <c r="O25" s="127">
        <f t="shared" si="14"/>
        <v>9.181318178800784E-3</v>
      </c>
      <c r="P25">
        <f t="shared" si="13"/>
        <v>2.6504182610231188E-3</v>
      </c>
    </row>
    <row r="26" spans="1:16" ht="16.5" thickBot="1" x14ac:dyDescent="0.3">
      <c r="A26" s="80" t="s">
        <v>14</v>
      </c>
      <c r="B26" s="30">
        <v>0.09</v>
      </c>
      <c r="C26" s="31">
        <v>0.23300000000000001</v>
      </c>
      <c r="D26" s="31">
        <v>0.13400000000000001</v>
      </c>
      <c r="E26" s="107">
        <v>6.7000000000000004E-2</v>
      </c>
      <c r="F26" s="119">
        <v>0.04</v>
      </c>
      <c r="G26" s="32">
        <v>4.4999999999999998E-2</v>
      </c>
      <c r="H26" s="104">
        <v>0</v>
      </c>
      <c r="I26" s="105">
        <v>3.6999999999999998E-2</v>
      </c>
      <c r="J26" s="113">
        <v>2.5000000000000001E-2</v>
      </c>
      <c r="K26" s="14">
        <v>0.2</v>
      </c>
      <c r="L26" s="1">
        <v>0.189</v>
      </c>
      <c r="M26" s="95">
        <v>0.255</v>
      </c>
      <c r="N26" s="77">
        <f t="shared" si="15"/>
        <v>0.10859649122807016</v>
      </c>
      <c r="O26" s="127">
        <f t="shared" si="14"/>
        <v>8.7363423888142389E-2</v>
      </c>
      <c r="P26">
        <f t="shared" si="13"/>
        <v>2.5219648149573195E-2</v>
      </c>
    </row>
    <row r="27" spans="1:16" ht="16.5" thickBot="1" x14ac:dyDescent="0.3">
      <c r="A27" s="80" t="s">
        <v>15</v>
      </c>
      <c r="B27" s="30">
        <v>0.03</v>
      </c>
      <c r="C27" s="31">
        <v>4.3999999999999997E-2</v>
      </c>
      <c r="D27" s="31">
        <v>0.04</v>
      </c>
      <c r="E27" s="107">
        <v>1.4E-2</v>
      </c>
      <c r="F27" s="119">
        <v>0.01</v>
      </c>
      <c r="G27" s="32">
        <v>1.2E-2</v>
      </c>
      <c r="H27" s="104">
        <v>1.7000000000000001E-2</v>
      </c>
      <c r="I27" s="105">
        <v>1.7000000000000001E-2</v>
      </c>
      <c r="J27" s="32">
        <v>0.02</v>
      </c>
      <c r="K27" s="14">
        <v>5.8000000000000003E-2</v>
      </c>
      <c r="L27" s="1">
        <v>5.8000000000000003E-2</v>
      </c>
      <c r="M27" s="95">
        <v>6.9000000000000006E-2</v>
      </c>
      <c r="N27" s="77">
        <f t="shared" si="15"/>
        <v>3.1730263157894734E-2</v>
      </c>
      <c r="O27" s="127">
        <f t="shared" si="14"/>
        <v>2.0022942724064085E-2</v>
      </c>
      <c r="P27">
        <f t="shared" si="13"/>
        <v>5.7801256858534293E-3</v>
      </c>
    </row>
    <row r="28" spans="1:16" ht="16.5" thickBot="1" x14ac:dyDescent="0.3">
      <c r="A28" s="80" t="s">
        <v>16</v>
      </c>
      <c r="B28" s="30">
        <v>2.3E-2</v>
      </c>
      <c r="C28" s="31">
        <v>2.8000000000000001E-2</v>
      </c>
      <c r="D28" s="31">
        <v>1.2999999999999999E-2</v>
      </c>
      <c r="E28" s="107">
        <v>0.02</v>
      </c>
      <c r="F28" s="119">
        <v>8.0000000000000002E-3</v>
      </c>
      <c r="G28" s="32">
        <v>0</v>
      </c>
      <c r="H28" s="104">
        <v>2.1000000000000001E-2</v>
      </c>
      <c r="I28" s="105">
        <v>0.02</v>
      </c>
      <c r="J28" s="32">
        <v>1.6E-2</v>
      </c>
      <c r="K28" s="14">
        <v>3.3000000000000002E-2</v>
      </c>
      <c r="L28" s="1">
        <v>2.5999999999999999E-2</v>
      </c>
      <c r="M28" s="95">
        <v>3.5999999999999997E-2</v>
      </c>
      <c r="N28" s="77">
        <f t="shared" si="15"/>
        <v>1.9945175438596491E-2</v>
      </c>
      <c r="O28" s="127">
        <f t="shared" si="14"/>
        <v>1.0072420702993787E-2</v>
      </c>
      <c r="P28">
        <f t="shared" si="13"/>
        <v>2.9076574021323115E-3</v>
      </c>
    </row>
    <row r="29" spans="1:16" ht="16.5" thickBot="1" x14ac:dyDescent="0.3">
      <c r="A29" s="82" t="s">
        <v>17</v>
      </c>
      <c r="B29" s="30">
        <v>7.1999999999999995E-2</v>
      </c>
      <c r="C29" s="31">
        <v>0.107</v>
      </c>
      <c r="D29" s="31">
        <v>7.9000000000000001E-2</v>
      </c>
      <c r="E29" s="121">
        <v>3.7999999999999999E-2</v>
      </c>
      <c r="F29" s="122">
        <v>2.1999999999999999E-2</v>
      </c>
      <c r="G29" s="32">
        <v>2.4E-2</v>
      </c>
      <c r="H29" s="110">
        <v>3.5000000000000003E-2</v>
      </c>
      <c r="I29" s="105">
        <v>0.03</v>
      </c>
      <c r="J29" s="32">
        <v>0</v>
      </c>
      <c r="K29" s="14">
        <v>0.115</v>
      </c>
      <c r="L29" s="4">
        <v>7.4999999999999997E-2</v>
      </c>
      <c r="M29" s="94">
        <v>0.13800000000000001</v>
      </c>
      <c r="N29" s="77">
        <f t="shared" si="15"/>
        <v>6.0947368421052653E-2</v>
      </c>
      <c r="O29" s="127">
        <f t="shared" si="14"/>
        <v>4.1997514646278371E-2</v>
      </c>
      <c r="P29">
        <f t="shared" si="13"/>
        <v>1.2123638193162034E-2</v>
      </c>
    </row>
    <row r="30" spans="1:16" ht="16.5" thickBot="1" x14ac:dyDescent="0.3">
      <c r="A30" s="83" t="s">
        <v>18</v>
      </c>
      <c r="B30" s="30">
        <v>0</v>
      </c>
      <c r="C30" s="31">
        <v>0</v>
      </c>
      <c r="D30" s="31">
        <v>0</v>
      </c>
      <c r="E30" s="124">
        <v>0</v>
      </c>
      <c r="F30" s="122">
        <v>0</v>
      </c>
      <c r="G30" s="32">
        <v>0</v>
      </c>
      <c r="H30" s="111">
        <v>0</v>
      </c>
      <c r="I30" s="109">
        <v>0</v>
      </c>
      <c r="J30" s="32">
        <v>0</v>
      </c>
      <c r="K30" s="68">
        <v>0</v>
      </c>
      <c r="L30" s="5">
        <v>0</v>
      </c>
      <c r="M30" s="94">
        <v>0</v>
      </c>
      <c r="N30" s="77">
        <f t="shared" si="15"/>
        <v>0</v>
      </c>
      <c r="O30" s="127">
        <f t="shared" si="14"/>
        <v>0</v>
      </c>
      <c r="P30">
        <f t="shared" si="13"/>
        <v>0</v>
      </c>
    </row>
    <row r="31" spans="1:16" ht="16.5" thickBot="1" x14ac:dyDescent="0.3">
      <c r="A31" s="83" t="s">
        <v>19</v>
      </c>
      <c r="B31" s="30">
        <v>0</v>
      </c>
      <c r="C31" s="31">
        <v>0</v>
      </c>
      <c r="D31" s="31">
        <v>0</v>
      </c>
      <c r="E31" s="111">
        <v>0</v>
      </c>
      <c r="F31" s="123">
        <v>0</v>
      </c>
      <c r="G31" s="32">
        <v>0</v>
      </c>
      <c r="H31" s="111">
        <v>0</v>
      </c>
      <c r="I31" s="109">
        <v>0</v>
      </c>
      <c r="J31" s="32">
        <v>0</v>
      </c>
      <c r="K31" s="68">
        <v>0</v>
      </c>
      <c r="L31" s="3">
        <v>0</v>
      </c>
      <c r="M31" s="97">
        <v>0.182</v>
      </c>
      <c r="N31" s="77">
        <f t="shared" si="15"/>
        <v>1.3171052631578948E-2</v>
      </c>
      <c r="O31" s="127">
        <f t="shared" si="14"/>
        <v>4.9252465944986452E-2</v>
      </c>
      <c r="P31">
        <f t="shared" si="13"/>
        <v>1.4217962235795403E-2</v>
      </c>
    </row>
    <row r="32" spans="1:16" ht="16.5" thickBot="1" x14ac:dyDescent="0.3">
      <c r="A32" s="20" t="s">
        <v>20</v>
      </c>
      <c r="B32" s="30">
        <v>0</v>
      </c>
      <c r="C32" s="31">
        <v>0</v>
      </c>
      <c r="D32" s="31">
        <v>0</v>
      </c>
      <c r="E32" s="111">
        <v>0</v>
      </c>
      <c r="F32" s="123">
        <v>0</v>
      </c>
      <c r="G32" s="32">
        <v>0</v>
      </c>
      <c r="H32" s="30">
        <v>0</v>
      </c>
      <c r="I32" s="109">
        <v>0</v>
      </c>
      <c r="J32" s="32">
        <v>0</v>
      </c>
      <c r="K32" s="13">
        <v>0</v>
      </c>
      <c r="L32" s="3">
        <v>0</v>
      </c>
      <c r="M32" s="97">
        <v>0</v>
      </c>
      <c r="N32" s="77">
        <f t="shared" si="15"/>
        <v>0</v>
      </c>
      <c r="O32" s="127">
        <f t="shared" si="14"/>
        <v>0</v>
      </c>
      <c r="P32">
        <f t="shared" si="13"/>
        <v>0</v>
      </c>
    </row>
    <row r="33" spans="1:16" ht="16.5" thickBot="1" x14ac:dyDescent="0.3">
      <c r="A33" s="82" t="s">
        <v>74</v>
      </c>
      <c r="B33" s="30">
        <v>0.45500000000000002</v>
      </c>
      <c r="C33" s="31">
        <v>0.69899999999999995</v>
      </c>
      <c r="D33" s="31">
        <v>0.30299999999999999</v>
      </c>
      <c r="E33" s="121">
        <v>0.253</v>
      </c>
      <c r="F33" s="122">
        <v>0.16600000000000001</v>
      </c>
      <c r="G33" s="32">
        <v>0.28000000000000003</v>
      </c>
      <c r="H33" s="110">
        <v>0.23300000000000001</v>
      </c>
      <c r="I33" s="105">
        <v>0.152</v>
      </c>
      <c r="J33" s="32">
        <v>0.28100000000000003</v>
      </c>
      <c r="K33" s="14">
        <v>0.17899999999999999</v>
      </c>
      <c r="L33" s="4">
        <v>0.21199999999999999</v>
      </c>
      <c r="M33" s="94">
        <v>0.20200000000000001</v>
      </c>
      <c r="N33" s="77">
        <f t="shared" si="15"/>
        <v>0.29586403508771925</v>
      </c>
      <c r="O33" s="127">
        <f t="shared" si="14"/>
        <v>0.16129971189632042</v>
      </c>
      <c r="P33">
        <f t="shared" si="13"/>
        <v>4.6563216041774838E-2</v>
      </c>
    </row>
    <row r="34" spans="1:16" ht="16.5" thickBot="1" x14ac:dyDescent="0.3">
      <c r="A34" s="82" t="s">
        <v>21</v>
      </c>
      <c r="B34" s="30">
        <v>1.4E-2</v>
      </c>
      <c r="C34" s="31">
        <v>0.01</v>
      </c>
      <c r="D34" s="31">
        <v>1.0999999999999999E-2</v>
      </c>
      <c r="E34" s="121">
        <v>1.2999999999999999E-2</v>
      </c>
      <c r="F34" s="122">
        <v>7.0000000000000001E-3</v>
      </c>
      <c r="G34" s="32">
        <v>1.4E-2</v>
      </c>
      <c r="H34" s="110">
        <v>0</v>
      </c>
      <c r="I34" s="105">
        <v>0</v>
      </c>
      <c r="J34" s="32">
        <v>0</v>
      </c>
      <c r="K34" s="14">
        <v>1.7000000000000001E-2</v>
      </c>
      <c r="L34" s="4">
        <v>1.9E-2</v>
      </c>
      <c r="M34" s="94">
        <v>1.7000000000000001E-2</v>
      </c>
      <c r="N34" s="77">
        <f t="shared" si="15"/>
        <v>1.0120614035087719E-2</v>
      </c>
      <c r="O34" s="127">
        <f t="shared" si="14"/>
        <v>6.7018468903575143E-3</v>
      </c>
      <c r="P34">
        <f t="shared" si="13"/>
        <v>1.9346565531077836E-3</v>
      </c>
    </row>
    <row r="35" spans="1:16" ht="16.5" thickBot="1" x14ac:dyDescent="0.3">
      <c r="A35" s="82" t="s">
        <v>22</v>
      </c>
      <c r="B35" s="30">
        <v>0.13800000000000001</v>
      </c>
      <c r="C35" s="31">
        <v>0.23499999999999999</v>
      </c>
      <c r="D35" s="31">
        <v>0.15</v>
      </c>
      <c r="E35" s="111">
        <v>7.6999999999999999E-2</v>
      </c>
      <c r="F35" s="122">
        <v>4.7E-2</v>
      </c>
      <c r="G35" s="32">
        <v>6.5000000000000002E-2</v>
      </c>
      <c r="H35" s="110">
        <v>6.8000000000000005E-2</v>
      </c>
      <c r="I35" s="105">
        <v>4.5999999999999999E-2</v>
      </c>
      <c r="J35" s="32">
        <v>0.08</v>
      </c>
      <c r="K35" s="14">
        <v>6.8000000000000005E-2</v>
      </c>
      <c r="L35" s="3">
        <v>0.08</v>
      </c>
      <c r="M35" s="94">
        <v>7.5999999999999998E-2</v>
      </c>
      <c r="N35" s="77">
        <f t="shared" si="15"/>
        <v>9.8155701754385982E-2</v>
      </c>
      <c r="O35" s="127">
        <f t="shared" si="14"/>
        <v>5.7334783341375622E-2</v>
      </c>
      <c r="P35">
        <f t="shared" si="13"/>
        <v>1.6551126298036043E-2</v>
      </c>
    </row>
    <row r="36" spans="1:16" ht="16.5" thickBot="1" x14ac:dyDescent="0.3">
      <c r="A36" s="80" t="s">
        <v>23</v>
      </c>
      <c r="B36" s="30">
        <v>0</v>
      </c>
      <c r="C36" s="31">
        <v>0</v>
      </c>
      <c r="D36" s="31">
        <v>0</v>
      </c>
      <c r="E36" s="107">
        <v>0</v>
      </c>
      <c r="F36" s="119">
        <v>3.2000000000000001E-2</v>
      </c>
      <c r="G36" s="32">
        <v>0</v>
      </c>
      <c r="H36" s="107">
        <v>0</v>
      </c>
      <c r="I36" s="31">
        <v>0</v>
      </c>
      <c r="J36" s="32">
        <v>0</v>
      </c>
      <c r="K36" s="14">
        <v>0</v>
      </c>
      <c r="L36" s="1">
        <v>0</v>
      </c>
      <c r="M36" s="95">
        <v>0</v>
      </c>
      <c r="N36" s="77">
        <f t="shared" si="15"/>
        <v>2.7368421052631577E-3</v>
      </c>
      <c r="O36" s="127">
        <f t="shared" si="14"/>
        <v>9.3471615132925748E-3</v>
      </c>
      <c r="P36">
        <f t="shared" si="13"/>
        <v>2.6982931079291891E-3</v>
      </c>
    </row>
    <row r="37" spans="1:16" ht="16.5" thickBot="1" x14ac:dyDescent="0.3">
      <c r="A37" s="80" t="s">
        <v>24</v>
      </c>
      <c r="B37" s="30">
        <v>0.83</v>
      </c>
      <c r="C37" s="31">
        <v>1.1739999999999999</v>
      </c>
      <c r="D37" s="31">
        <v>0.56399999999999995</v>
      </c>
      <c r="E37" s="107">
        <v>0.32500000000000001</v>
      </c>
      <c r="F37" s="119">
        <v>0.13500000000000001</v>
      </c>
      <c r="G37" s="32" t="s">
        <v>75</v>
      </c>
      <c r="H37" s="104">
        <v>0.27600000000000002</v>
      </c>
      <c r="I37" s="105">
        <v>0.216</v>
      </c>
      <c r="J37" s="32">
        <v>0</v>
      </c>
      <c r="K37" s="14">
        <v>0.45100000000000001</v>
      </c>
      <c r="L37" s="1">
        <v>0.316</v>
      </c>
      <c r="M37" s="95">
        <v>0.58599999999999997</v>
      </c>
      <c r="N37" s="77">
        <f>(B37*C$1+C37*C$1+D37*C$1+E37*F$1*1.5+F37*F$1*1.5+K37*L$1+L37*L$1+M37*L$1+H37*I$1+I37*I$1+J37*I$1)/(C$1*3+F$1*3+L$1*3+I$1*3)</f>
        <v>0.44355921052631586</v>
      </c>
      <c r="O37" s="127">
        <f>((C$1*(B37-N37)^2+C$1*(C37-N37)^2+C$1*(D37-N37)^2+1.5*F$1*(E37-N37)^2+1.5*F$1*(F37-N37)^2+L$1*(K37-N37)^2+L$1*(L37-N37)^2+L$1*(M37-N37)^2+I$1*(H37-N37)^2+I$1*(I37-N37)^2+I$1*(J37-N37)^2)/((10*(C$1*3+F$1*3+L$1*3+I$1*3))/11))^(0.5)</f>
        <v>0.34113903999459982</v>
      </c>
      <c r="P37">
        <f t="shared" si="13"/>
        <v>0.10285729063673928</v>
      </c>
    </row>
    <row r="38" spans="1:16" ht="16.5" thickBot="1" x14ac:dyDescent="0.3">
      <c r="A38" s="83" t="s">
        <v>25</v>
      </c>
      <c r="B38" s="30">
        <v>0</v>
      </c>
      <c r="C38" s="31">
        <v>0</v>
      </c>
      <c r="D38" s="31">
        <v>0</v>
      </c>
      <c r="E38" s="111">
        <v>0</v>
      </c>
      <c r="F38" s="123">
        <v>0</v>
      </c>
      <c r="G38" s="32">
        <v>0</v>
      </c>
      <c r="H38" s="114">
        <v>0</v>
      </c>
      <c r="I38" s="115">
        <v>0</v>
      </c>
      <c r="J38" s="32">
        <v>0</v>
      </c>
      <c r="K38" s="68">
        <v>0</v>
      </c>
      <c r="L38" s="3">
        <v>0</v>
      </c>
      <c r="M38" s="97">
        <v>0</v>
      </c>
      <c r="N38" s="77">
        <f>(B38*C$1+C38*C$1+D38*C$1+E38*F$1+F38*F$1+G38*F$1+K38*L$1+L38*L$1+M38*L$1+H38*I$1+I38*I$1+J38*I$1)/(C$1*3+F$1*3+L$1*3+I$1*3)</f>
        <v>0</v>
      </c>
      <c r="O38" s="127">
        <f t="shared" si="14"/>
        <v>0</v>
      </c>
      <c r="P38">
        <f t="shared" si="13"/>
        <v>0</v>
      </c>
    </row>
    <row r="39" spans="1:16" ht="16.5" thickBot="1" x14ac:dyDescent="0.3">
      <c r="A39" s="80" t="s">
        <v>26</v>
      </c>
      <c r="B39" s="30">
        <v>0</v>
      </c>
      <c r="C39" s="31">
        <v>0</v>
      </c>
      <c r="D39" s="31">
        <v>0</v>
      </c>
      <c r="E39" s="107">
        <v>0</v>
      </c>
      <c r="F39" s="31">
        <v>0</v>
      </c>
      <c r="G39" s="32">
        <v>0</v>
      </c>
      <c r="H39" s="104">
        <v>0</v>
      </c>
      <c r="I39" s="105">
        <v>0</v>
      </c>
      <c r="J39" s="32">
        <v>0</v>
      </c>
      <c r="K39" s="14">
        <v>0</v>
      </c>
      <c r="L39" s="1">
        <v>0</v>
      </c>
      <c r="M39" s="11">
        <v>0</v>
      </c>
      <c r="N39" s="77">
        <f>(B39*C$1+C39*C$1+D39*C$1+E39*F$1+F39*F$1+G39*F$1+K39*L$1+L39*L$1+M39*L$1+H39*I$1+I39*I$1+J39*I$1)/(C$1*3+F$1*3+L$1*3+I$1*3)</f>
        <v>0</v>
      </c>
      <c r="O39" s="127">
        <f t="shared" si="14"/>
        <v>0</v>
      </c>
      <c r="P39">
        <f t="shared" si="13"/>
        <v>0</v>
      </c>
    </row>
    <row r="40" spans="1:16" ht="16.5" thickBot="1" x14ac:dyDescent="0.3">
      <c r="A40" s="84" t="s">
        <v>27</v>
      </c>
      <c r="B40" s="36">
        <v>0.161</v>
      </c>
      <c r="C40" s="35">
        <v>0.20899999999999999</v>
      </c>
      <c r="D40" s="35">
        <v>0.14399999999999999</v>
      </c>
      <c r="E40" s="154">
        <v>7.9000000000000001E-2</v>
      </c>
      <c r="F40" s="155">
        <v>5.1999999999999998E-2</v>
      </c>
      <c r="G40" s="37">
        <v>7.2999999999999995E-2</v>
      </c>
      <c r="H40" s="156">
        <v>2.5000000000000001E-2</v>
      </c>
      <c r="I40" s="157">
        <v>1.4999999999999999E-2</v>
      </c>
      <c r="J40" s="37">
        <v>2.5000000000000001E-2</v>
      </c>
      <c r="K40" s="161">
        <v>2.3E-2</v>
      </c>
      <c r="L40" s="162">
        <v>0.05</v>
      </c>
      <c r="M40" s="163">
        <v>0</v>
      </c>
      <c r="N40" s="77">
        <f>(B40*C$1+C40*C$1+D40*C$1+E40*F$1+F40*F$1+G40*F$1+K40*L$1+L40*L$1+M40*L$1+H40*I$1+I40*I$1+J40*I$1)/(C$1*3+F$1*3+L$1*3+I$1*3)</f>
        <v>7.7458333333333323E-2</v>
      </c>
      <c r="O40" s="127">
        <f t="shared" si="14"/>
        <v>6.8278721077606741E-2</v>
      </c>
      <c r="P40">
        <f t="shared" si="13"/>
        <v>1.9710368997039814E-2</v>
      </c>
    </row>
  </sheetData>
  <mergeCells count="8">
    <mergeCell ref="B3:D3"/>
    <mergeCell ref="E3:G3"/>
    <mergeCell ref="K3:M3"/>
    <mergeCell ref="H3:J3"/>
    <mergeCell ref="B10:D10"/>
    <mergeCell ref="E10:G10"/>
    <mergeCell ref="K10:M10"/>
    <mergeCell ref="H10:J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70CB-7FE9-4D14-8D68-C1EC79C087B3}">
  <sheetPr codeName="Sheet1"/>
  <dimension ref="A1:P40"/>
  <sheetViews>
    <sheetView workbookViewId="0">
      <selection activeCell="H5" sqref="H5:J8"/>
    </sheetView>
  </sheetViews>
  <sheetFormatPr defaultRowHeight="15.75" x14ac:dyDescent="0.25"/>
  <cols>
    <col min="1" max="1" width="34.375" customWidth="1"/>
    <col min="2" max="2" width="16.375" style="15" customWidth="1"/>
    <col min="3" max="3" width="12.875" style="12" customWidth="1"/>
    <col min="4" max="4" width="15.5" style="11" customWidth="1"/>
    <col min="5" max="5" width="12" style="15" customWidth="1"/>
    <col min="6" max="6" width="13.625" style="12" customWidth="1"/>
    <col min="7" max="7" width="16.75" style="11" customWidth="1"/>
    <col min="8" max="8" width="12.875" style="15" customWidth="1"/>
    <col min="9" max="9" width="14.25" style="12" customWidth="1"/>
    <col min="10" max="10" width="13.75" style="11" customWidth="1"/>
    <col min="11" max="11" width="14.625" style="15" customWidth="1"/>
    <col min="12" max="12" width="15" style="12" customWidth="1"/>
    <col min="13" max="13" width="13.375" style="11" customWidth="1"/>
    <col min="14" max="14" width="14.625" style="74" customWidth="1"/>
    <col min="15" max="15" width="16.125" style="7" customWidth="1"/>
    <col min="18" max="18" width="9" customWidth="1"/>
  </cols>
  <sheetData>
    <row r="1" spans="1:16" s="18" customFormat="1" ht="16.5" thickBot="1" x14ac:dyDescent="0.3">
      <c r="A1" s="24" t="s">
        <v>79</v>
      </c>
      <c r="B1" s="24"/>
      <c r="C1" s="18">
        <v>22</v>
      </c>
      <c r="D1" s="19"/>
      <c r="E1" s="24"/>
      <c r="F1" s="18">
        <v>16</v>
      </c>
      <c r="G1" s="19"/>
      <c r="H1" s="24"/>
      <c r="I1" s="18">
        <v>16</v>
      </c>
      <c r="J1" s="19"/>
      <c r="K1" s="24"/>
      <c r="L1" s="18">
        <v>15</v>
      </c>
      <c r="M1" s="19"/>
      <c r="N1" s="86"/>
      <c r="O1" s="87"/>
    </row>
    <row r="2" spans="1:16" ht="16.5" thickBot="1" x14ac:dyDescent="0.3">
      <c r="A2" s="59" t="s">
        <v>64</v>
      </c>
      <c r="B2" s="65" t="s">
        <v>42</v>
      </c>
      <c r="C2" s="60" t="s">
        <v>39</v>
      </c>
      <c r="D2" s="61" t="s">
        <v>40</v>
      </c>
      <c r="E2" s="78" t="s">
        <v>66</v>
      </c>
      <c r="F2" s="149" t="s">
        <v>67</v>
      </c>
      <c r="G2" s="150" t="s">
        <v>68</v>
      </c>
      <c r="H2" s="78" t="s">
        <v>35</v>
      </c>
      <c r="I2" s="149" t="s">
        <v>36</v>
      </c>
      <c r="J2" s="151" t="s">
        <v>37</v>
      </c>
      <c r="K2" s="147" t="s">
        <v>83</v>
      </c>
      <c r="L2" s="42" t="s">
        <v>84</v>
      </c>
      <c r="M2" s="148" t="s">
        <v>85</v>
      </c>
      <c r="N2" s="152" t="s">
        <v>53</v>
      </c>
      <c r="O2" s="153" t="s">
        <v>80</v>
      </c>
      <c r="P2" s="11"/>
    </row>
    <row r="3" spans="1:16" ht="16.5" thickBot="1" x14ac:dyDescent="0.3">
      <c r="A3" s="25"/>
      <c r="B3" s="186" t="s">
        <v>88</v>
      </c>
      <c r="C3" s="187"/>
      <c r="D3" s="188"/>
      <c r="E3" s="186" t="s">
        <v>88</v>
      </c>
      <c r="F3" s="187"/>
      <c r="G3" s="188"/>
      <c r="H3" s="186" t="s">
        <v>88</v>
      </c>
      <c r="I3" s="187"/>
      <c r="J3" s="188"/>
      <c r="K3" s="186" t="s">
        <v>88</v>
      </c>
      <c r="L3" s="187"/>
      <c r="M3" s="188"/>
      <c r="N3" s="186" t="s">
        <v>88</v>
      </c>
      <c r="O3" s="187"/>
      <c r="P3" s="188"/>
    </row>
    <row r="4" spans="1:16" x14ac:dyDescent="0.25">
      <c r="A4" s="25" t="s">
        <v>41</v>
      </c>
      <c r="B4" s="43">
        <f>SUM(B11:B40)</f>
        <v>1.256</v>
      </c>
      <c r="C4" s="44">
        <f t="shared" ref="C4:M4" si="0">SUM(C11:C40)</f>
        <v>1.9919999999999995</v>
      </c>
      <c r="D4" s="45">
        <f t="shared" si="0"/>
        <v>1.5489999999999999</v>
      </c>
      <c r="E4" s="44">
        <f t="shared" ref="E4:G4" si="1">SUM(E11:E40)</f>
        <v>1.427</v>
      </c>
      <c r="F4" s="44">
        <f t="shared" si="1"/>
        <v>1.5919999999999996</v>
      </c>
      <c r="G4" s="44">
        <f t="shared" si="1"/>
        <v>1.5449999999999999</v>
      </c>
      <c r="H4" s="43">
        <f t="shared" si="0"/>
        <v>1.3445000000000003</v>
      </c>
      <c r="I4" s="44">
        <f t="shared" si="0"/>
        <v>1.9860000000000002</v>
      </c>
      <c r="J4" s="45">
        <f t="shared" si="0"/>
        <v>0.96600000000000008</v>
      </c>
      <c r="K4" s="43">
        <f t="shared" si="0"/>
        <v>1.36</v>
      </c>
      <c r="L4" s="44">
        <f t="shared" si="0"/>
        <v>2.0630000000000002</v>
      </c>
      <c r="M4" s="45">
        <f t="shared" si="0"/>
        <v>2.4650000000000003</v>
      </c>
      <c r="N4" s="106">
        <f t="shared" ref="N4:N7" si="2">(B4*C$1+C4*C$1+D4*C$1+E4*F$1+F4*F$1+G4*F$1+K4*L$1+L4*L$1+M4*L$1+H4*I$1+I4*I$1+J4*I$1)/(C$1*3+F$1*3+L$1*3+I$1*3)</f>
        <v>1.6213623188405797</v>
      </c>
      <c r="O4" s="127">
        <f t="shared" ref="O4:O40" si="3">((C$1*(B4-N4)^2+C$1*(C4-N4)^2+C$1*(D4-N4)^2+F$1*(E4-N4)^2+F$1*(F4-N4)^2+F$1*(G4-N4)^2+L$1*(K4-N4)^2+L$1*(L4-N4)^2+L$1*(M4-N4)^2+I$1*(H4-N4)^2+I$1*(I4-N4)^2+I$1*(J4-N4)^2)/((11*(C$1*3+F$1*3+L$1*3+I$1*3))/12))^(0.5)</f>
        <v>0.40833007280731176</v>
      </c>
      <c r="P4" s="23"/>
    </row>
    <row r="5" spans="1:16" x14ac:dyDescent="0.25">
      <c r="A5" s="15" t="s">
        <v>49</v>
      </c>
      <c r="B5" s="46">
        <v>14.56</v>
      </c>
      <c r="C5" s="47">
        <v>15.654624999999999</v>
      </c>
      <c r="D5" s="48">
        <v>15.66673333</v>
      </c>
      <c r="E5" s="47">
        <v>13.3</v>
      </c>
      <c r="F5" s="47">
        <v>14.60429667</v>
      </c>
      <c r="G5" s="47">
        <v>12.8612325</v>
      </c>
      <c r="H5" s="46">
        <v>7.7940533329999999</v>
      </c>
      <c r="I5" s="47">
        <v>7.4847950000000001</v>
      </c>
      <c r="J5" s="48">
        <v>6.0978000000000003</v>
      </c>
      <c r="K5" s="21">
        <v>16.086707499999999</v>
      </c>
      <c r="L5" s="22">
        <v>19.881398000000001</v>
      </c>
      <c r="M5" s="23">
        <v>19.0457</v>
      </c>
      <c r="N5" s="106">
        <f t="shared" si="2"/>
        <v>13.666047371053139</v>
      </c>
      <c r="O5" s="127">
        <f t="shared" si="3"/>
        <v>4.2331021931369355</v>
      </c>
      <c r="P5" s="23"/>
    </row>
    <row r="6" spans="1:16" x14ac:dyDescent="0.25">
      <c r="A6" s="15" t="s">
        <v>50</v>
      </c>
      <c r="B6" s="46">
        <v>1.84E-2</v>
      </c>
      <c r="C6" s="47">
        <v>4.308E-2</v>
      </c>
      <c r="D6" s="48">
        <v>0</v>
      </c>
      <c r="E6" s="47">
        <v>0.41</v>
      </c>
      <c r="F6" s="47">
        <v>3.6746666669999997E-2</v>
      </c>
      <c r="G6" s="47">
        <v>3.28875E-2</v>
      </c>
      <c r="H6" s="46">
        <v>11.30390667</v>
      </c>
      <c r="I6" s="47">
        <v>11.452764999999999</v>
      </c>
      <c r="J6" s="48">
        <v>10.419</v>
      </c>
      <c r="K6" s="21">
        <v>3.9465E-2</v>
      </c>
      <c r="L6" s="22">
        <v>4.2742000000000002E-2</v>
      </c>
      <c r="M6" s="23">
        <v>4.8292500000000002E-2</v>
      </c>
      <c r="N6" s="106">
        <f t="shared" si="2"/>
        <v>2.6173668883416421</v>
      </c>
      <c r="O6" s="127">
        <f>((C$1*(B6-N6)^2+C$1*(C6-N6)^2+C$1*(D6-N6)^2+F$1*(E6-N6)^2+F$1*(F6-N6)^2+F$1*(G6-N6)^2+L$1*(K6-N6)^2+L$1*(L6-N6)^2+L$1*(M6-N6)^2+I$1*(H6-N6)^2+I$1*(I6-N6)^2+I$1*(J6-N6)^2)/((11*(C$1*3+F$1*3+L$1*3+I$1*3))/12))^(0.5)</f>
        <v>4.8507535646530346</v>
      </c>
      <c r="P6" s="23"/>
    </row>
    <row r="7" spans="1:16" x14ac:dyDescent="0.25">
      <c r="A7" s="15" t="s">
        <v>51</v>
      </c>
      <c r="B7" s="46">
        <v>0.64149999999999996</v>
      </c>
      <c r="C7" s="47">
        <v>1.52705</v>
      </c>
      <c r="D7" s="48">
        <v>1.4644299999999999</v>
      </c>
      <c r="E7" s="47">
        <v>0.2016</v>
      </c>
      <c r="F7" s="47">
        <v>0.28802</v>
      </c>
      <c r="G7" s="47">
        <v>0.2557875</v>
      </c>
      <c r="H7" s="46">
        <v>0.59901666669999998</v>
      </c>
      <c r="I7" s="47">
        <v>1.1344350000000001</v>
      </c>
      <c r="J7" s="48">
        <v>0.52200000000000002</v>
      </c>
      <c r="K7" s="21">
        <v>0.53046499999999996</v>
      </c>
      <c r="L7" s="22">
        <v>0.77332199999999995</v>
      </c>
      <c r="M7" s="23">
        <v>0.66132000000000002</v>
      </c>
      <c r="N7" s="106">
        <f t="shared" si="2"/>
        <v>0.76046334138743954</v>
      </c>
      <c r="O7" s="127">
        <f t="shared" si="3"/>
        <v>0.46650045975853038</v>
      </c>
      <c r="P7" s="23"/>
    </row>
    <row r="8" spans="1:16" ht="16.5" thickBot="1" x14ac:dyDescent="0.3">
      <c r="A8" s="15" t="s">
        <v>52</v>
      </c>
      <c r="B8" s="46">
        <v>0.13769999999999999</v>
      </c>
      <c r="C8" s="47">
        <v>0.18720500000000001</v>
      </c>
      <c r="D8" s="48">
        <v>0.27771666695899999</v>
      </c>
      <c r="E8" s="50">
        <v>0.1152</v>
      </c>
      <c r="F8" s="50">
        <v>0.14155000000000001</v>
      </c>
      <c r="G8" s="50">
        <v>0</v>
      </c>
      <c r="H8" s="46">
        <v>1.9179999999999999E-2</v>
      </c>
      <c r="I8" s="47">
        <v>0.38149499999999997</v>
      </c>
      <c r="J8" s="48">
        <v>0.48649999999999999</v>
      </c>
      <c r="K8" s="21">
        <v>1.4999999999999999E-2</v>
      </c>
      <c r="L8" s="22">
        <v>0.33799800000000002</v>
      </c>
      <c r="M8" s="23">
        <v>0.4093425</v>
      </c>
      <c r="N8" s="106">
        <f>(B8*C$1+C8*C$1+D8*C$1+E8*F$1+F8*F$1+G8*F$1+K8*L$1+L8*L$1+M8*L$1+H8*I$1+I8*I$1+J8*I$1)/(C$1*3+F$1*3+L$1*3+I$1*3)</f>
        <v>0.20770813610192271</v>
      </c>
      <c r="O8" s="127">
        <f t="shared" si="3"/>
        <v>0.15969627603823636</v>
      </c>
      <c r="P8" s="23"/>
    </row>
    <row r="9" spans="1:16" s="18" customFormat="1" ht="16.5" thickBot="1" x14ac:dyDescent="0.3">
      <c r="A9" s="24" t="s">
        <v>89</v>
      </c>
      <c r="B9" s="136">
        <f>SUM(B4:B8)</f>
        <v>16.613599999999998</v>
      </c>
      <c r="C9" s="133">
        <f t="shared" ref="C9:M9" si="4">SUM(C4:C8)</f>
        <v>19.403959999999998</v>
      </c>
      <c r="D9" s="137">
        <f t="shared" si="4"/>
        <v>18.957879996959001</v>
      </c>
      <c r="E9" s="50">
        <f t="shared" ref="E9:G9" si="5">SUM(E4:E8)</f>
        <v>15.453799999999999</v>
      </c>
      <c r="F9" s="50">
        <f t="shared" si="5"/>
        <v>16.662613336669995</v>
      </c>
      <c r="G9" s="50">
        <f t="shared" si="5"/>
        <v>14.694907499999999</v>
      </c>
      <c r="H9" s="136">
        <f t="shared" si="4"/>
        <v>21.060656669699998</v>
      </c>
      <c r="I9" s="133">
        <f t="shared" si="4"/>
        <v>22.439490000000003</v>
      </c>
      <c r="J9" s="137">
        <f t="shared" si="4"/>
        <v>18.491299999999999</v>
      </c>
      <c r="K9" s="71">
        <f t="shared" si="4"/>
        <v>18.031637499999999</v>
      </c>
      <c r="L9" s="73">
        <f t="shared" si="4"/>
        <v>23.098459999999999</v>
      </c>
      <c r="M9" s="72">
        <f t="shared" si="4"/>
        <v>22.629655</v>
      </c>
      <c r="N9" s="116">
        <f>(B9*C$1+C9*C$1+D9*C$1+E9*F$1+F9*F$1+G9*F$1+K9*L$1+L9*L$1+M9*L$1+H9*I$1+I9*I$1+J9*I$1)/(C$1*3+F$1*3+L$1*3+I$1*3)</f>
        <v>18.872948055724724</v>
      </c>
      <c r="O9" s="134">
        <f t="shared" si="3"/>
        <v>2.7507282225748502</v>
      </c>
      <c r="P9" s="73"/>
    </row>
    <row r="10" spans="1:16" ht="16.5" thickBot="1" x14ac:dyDescent="0.3">
      <c r="A10" s="15"/>
      <c r="B10" s="189" t="s">
        <v>86</v>
      </c>
      <c r="C10" s="190"/>
      <c r="D10" s="191"/>
      <c r="E10" s="189" t="s">
        <v>86</v>
      </c>
      <c r="F10" s="190"/>
      <c r="G10" s="191"/>
      <c r="H10" s="189" t="s">
        <v>86</v>
      </c>
      <c r="I10" s="190"/>
      <c r="J10" s="191"/>
      <c r="K10" s="189" t="s">
        <v>86</v>
      </c>
      <c r="L10" s="190"/>
      <c r="M10" s="191"/>
      <c r="N10" s="131" t="s">
        <v>86</v>
      </c>
      <c r="O10" s="127" t="e">
        <f t="shared" si="3"/>
        <v>#VALUE!</v>
      </c>
      <c r="P10" s="132"/>
    </row>
    <row r="11" spans="1:16" ht="16.5" thickBot="1" x14ac:dyDescent="0.3">
      <c r="A11" s="88" t="s">
        <v>1</v>
      </c>
      <c r="B11" s="138">
        <f>0.56/10</f>
        <v>5.6000000000000008E-2</v>
      </c>
      <c r="C11" s="98">
        <v>3.6999999999999998E-2</v>
      </c>
      <c r="D11" s="139">
        <v>2.9000000000000001E-2</v>
      </c>
      <c r="E11" s="101">
        <v>7.0000000000000007E-2</v>
      </c>
      <c r="F11" s="102">
        <v>0.12</v>
      </c>
      <c r="G11" s="103">
        <v>0.189</v>
      </c>
      <c r="H11" s="30">
        <v>0.23200000000000001</v>
      </c>
      <c r="I11" s="31">
        <v>0.23899999999999999</v>
      </c>
      <c r="J11" s="32">
        <v>8.7999999999999995E-2</v>
      </c>
      <c r="K11" s="33">
        <v>2.3E-2</v>
      </c>
      <c r="L11" s="29">
        <v>3.9E-2</v>
      </c>
      <c r="M11" s="34">
        <v>2.9000000000000001E-2</v>
      </c>
      <c r="N11" s="106">
        <f t="shared" ref="N11:N18" si="6">(B11*C$1+C11*C$1+D11*C$1+E11*F$1+F11*F$1+G11*F$1+K11*L$1+L11*L$1+M11*L$1+H11*I$1+I11*I$1+J11*I$1)/(C$1*3+F$1*3+L$1*3+I$1*3)</f>
        <v>9.2062801932367155E-2</v>
      </c>
      <c r="O11" s="127">
        <f>((C$1*(B11-N11)^2+C$1*(C11-N11)^2+C$1*(D11-N11)^2+F$1*(E11-N11)^2+F$1*(F11-N11)^2+F$1*(G11-N11)^2+L$1*(K11-N11)^2+L$1*(L11-N11)^2+L$1*(M11-N11)^2+I$1*(H11-N11)^2+I$1*(I11-N11)^2+I$1*(J11-N11)^2)/((11*(C$1*3+F$1*3+L$1*3+I$1*3))/12))^(0.5)</f>
        <v>7.9055564374869533E-2</v>
      </c>
      <c r="P11" s="23"/>
    </row>
    <row r="12" spans="1:16" ht="16.5" thickBot="1" x14ac:dyDescent="0.3">
      <c r="A12" s="89" t="s">
        <v>2</v>
      </c>
      <c r="B12" s="138">
        <v>0</v>
      </c>
      <c r="C12" s="98">
        <v>0.01</v>
      </c>
      <c r="D12" s="139">
        <v>8.0000000000000002E-3</v>
      </c>
      <c r="E12" s="104">
        <v>8.0000000000000002E-3</v>
      </c>
      <c r="F12" s="105">
        <v>0.01</v>
      </c>
      <c r="G12" s="32">
        <v>8.0000000000000002E-3</v>
      </c>
      <c r="H12" s="30">
        <v>7.0000000000000001E-3</v>
      </c>
      <c r="I12" s="31">
        <v>1.0999999999999999E-2</v>
      </c>
      <c r="J12" s="32">
        <v>8.0000000000000002E-3</v>
      </c>
      <c r="K12" s="30">
        <v>8.0000000000000002E-3</v>
      </c>
      <c r="L12" s="31">
        <v>1.7000000000000001E-2</v>
      </c>
      <c r="M12" s="32">
        <v>1.4E-2</v>
      </c>
      <c r="N12" s="106">
        <f t="shared" si="6"/>
        <v>8.7584541062801936E-3</v>
      </c>
      <c r="O12" s="127">
        <f t="shared" si="3"/>
        <v>4.2054752599905605E-3</v>
      </c>
      <c r="P12" s="23"/>
    </row>
    <row r="13" spans="1:16" ht="16.5" thickBot="1" x14ac:dyDescent="0.3">
      <c r="A13" s="89" t="s">
        <v>3</v>
      </c>
      <c r="B13" s="138">
        <v>0</v>
      </c>
      <c r="C13" s="98">
        <v>8.6999999999999994E-2</v>
      </c>
      <c r="D13" s="139">
        <v>0</v>
      </c>
      <c r="E13" s="107">
        <v>0</v>
      </c>
      <c r="F13" s="31">
        <v>0</v>
      </c>
      <c r="G13" s="32">
        <v>0</v>
      </c>
      <c r="H13" s="30">
        <v>0</v>
      </c>
      <c r="I13" s="31">
        <v>0</v>
      </c>
      <c r="J13" s="32">
        <v>0</v>
      </c>
      <c r="K13" s="30">
        <v>0</v>
      </c>
      <c r="L13" s="31">
        <v>0</v>
      </c>
      <c r="M13" s="32">
        <v>6.5000000000000002E-2</v>
      </c>
      <c r="N13" s="106">
        <f t="shared" si="6"/>
        <v>1.3956521739130435E-2</v>
      </c>
      <c r="O13" s="127">
        <f t="shared" si="3"/>
        <v>3.1607991575958873E-2</v>
      </c>
      <c r="P13" s="23"/>
    </row>
    <row r="14" spans="1:16" ht="16.5" thickBot="1" x14ac:dyDescent="0.3">
      <c r="A14" s="89" t="s">
        <v>4</v>
      </c>
      <c r="B14" s="138">
        <f>0.77/10</f>
        <v>7.6999999999999999E-2</v>
      </c>
      <c r="C14" s="98">
        <v>5.3999999999999999E-2</v>
      </c>
      <c r="D14" s="139">
        <v>4.2999999999999997E-2</v>
      </c>
      <c r="E14" s="104">
        <v>3.3000000000000002E-2</v>
      </c>
      <c r="F14" s="105">
        <v>5.0999999999999997E-2</v>
      </c>
      <c r="G14" s="32">
        <v>7.6999999999999999E-2</v>
      </c>
      <c r="H14" s="30">
        <v>5.45E-2</v>
      </c>
      <c r="I14" s="31">
        <v>5.6000000000000001E-2</v>
      </c>
      <c r="J14" s="32">
        <v>2.8000000000000001E-2</v>
      </c>
      <c r="K14" s="30">
        <v>3.3000000000000002E-2</v>
      </c>
      <c r="L14" s="31">
        <v>5.2999999999999999E-2</v>
      </c>
      <c r="M14" s="32">
        <v>0.04</v>
      </c>
      <c r="N14" s="106">
        <f t="shared" si="6"/>
        <v>5.0772946859903391E-2</v>
      </c>
      <c r="O14" s="127">
        <f t="shared" si="3"/>
        <v>1.5948257656523777E-2</v>
      </c>
      <c r="P14" s="23"/>
    </row>
    <row r="15" spans="1:16" ht="16.5" thickBot="1" x14ac:dyDescent="0.3">
      <c r="A15" s="89" t="s">
        <v>5</v>
      </c>
      <c r="B15" s="138">
        <f>1.98/10</f>
        <v>0.19800000000000001</v>
      </c>
      <c r="C15" s="98">
        <v>0.129</v>
      </c>
      <c r="D15" s="139">
        <v>0.11799999999999999</v>
      </c>
      <c r="E15" s="104">
        <v>0.52800000000000002</v>
      </c>
      <c r="F15" s="105">
        <v>0.71899999999999997</v>
      </c>
      <c r="G15" s="32">
        <v>0.71299999999999997</v>
      </c>
      <c r="H15" s="30">
        <v>0.52600000000000002</v>
      </c>
      <c r="I15" s="31">
        <v>0.75</v>
      </c>
      <c r="J15" s="32">
        <v>0.34899999999999998</v>
      </c>
      <c r="K15" s="30">
        <v>0.13200000000000001</v>
      </c>
      <c r="L15" s="31">
        <v>0.17799999999999999</v>
      </c>
      <c r="M15" s="32">
        <v>0.14599999999999999</v>
      </c>
      <c r="N15" s="106">
        <f t="shared" si="6"/>
        <v>0.35743961352657</v>
      </c>
      <c r="O15" s="127">
        <f t="shared" si="3"/>
        <v>0.25548813487677791</v>
      </c>
      <c r="P15" s="23"/>
    </row>
    <row r="16" spans="1:16" ht="27" thickBot="1" x14ac:dyDescent="0.3">
      <c r="A16" s="90" t="s">
        <v>72</v>
      </c>
      <c r="B16" s="140">
        <f>0.25/10</f>
        <v>2.5000000000000001E-2</v>
      </c>
      <c r="C16" s="99">
        <v>3.2000000000000001E-2</v>
      </c>
      <c r="D16" s="141">
        <v>2.5000000000000001E-2</v>
      </c>
      <c r="E16" s="108">
        <v>0</v>
      </c>
      <c r="F16" s="109">
        <v>0</v>
      </c>
      <c r="G16" s="32">
        <v>0</v>
      </c>
      <c r="H16" s="30">
        <v>0</v>
      </c>
      <c r="I16" s="31">
        <v>0</v>
      </c>
      <c r="J16" s="32">
        <v>0</v>
      </c>
      <c r="K16" s="30">
        <v>0</v>
      </c>
      <c r="L16" s="31">
        <v>0</v>
      </c>
      <c r="M16" s="32">
        <v>0</v>
      </c>
      <c r="N16" s="106">
        <f t="shared" si="6"/>
        <v>8.7149758454106285E-3</v>
      </c>
      <c r="O16" s="127">
        <f t="shared" si="3"/>
        <v>1.3446068249966707E-2</v>
      </c>
      <c r="P16" s="23"/>
    </row>
    <row r="17" spans="1:16" ht="16.5" thickBot="1" x14ac:dyDescent="0.3">
      <c r="A17" s="89" t="s">
        <v>6</v>
      </c>
      <c r="B17" s="138">
        <f>0.15/10</f>
        <v>1.4999999999999999E-2</v>
      </c>
      <c r="C17" s="98">
        <v>0.02</v>
      </c>
      <c r="D17" s="139">
        <v>1.7000000000000001E-2</v>
      </c>
      <c r="E17" s="107">
        <v>0</v>
      </c>
      <c r="F17" s="109">
        <v>0</v>
      </c>
      <c r="G17" s="32">
        <v>0</v>
      </c>
      <c r="H17" s="30">
        <v>0</v>
      </c>
      <c r="I17" s="31">
        <v>0</v>
      </c>
      <c r="J17" s="32">
        <v>0</v>
      </c>
      <c r="K17" s="30">
        <v>0</v>
      </c>
      <c r="L17" s="31">
        <v>0</v>
      </c>
      <c r="M17" s="32">
        <v>0</v>
      </c>
      <c r="N17" s="106">
        <f t="shared" si="6"/>
        <v>5.5265700483091793E-3</v>
      </c>
      <c r="O17" s="127">
        <f t="shared" si="3"/>
        <v>8.523579281423721E-3</v>
      </c>
      <c r="P17" s="23"/>
    </row>
    <row r="18" spans="1:16" ht="16.5" thickBot="1" x14ac:dyDescent="0.3">
      <c r="A18" s="91" t="s">
        <v>7</v>
      </c>
      <c r="B18" s="138">
        <f>1.39/10</f>
        <v>0.13899999999999998</v>
      </c>
      <c r="C18" s="98">
        <v>0.20499999999999999</v>
      </c>
      <c r="D18" s="139">
        <v>0.16600000000000001</v>
      </c>
      <c r="E18" s="110">
        <v>8.8999999999999996E-2</v>
      </c>
      <c r="F18" s="105">
        <v>0.13500000000000001</v>
      </c>
      <c r="G18" s="32">
        <v>0.111</v>
      </c>
      <c r="H18" s="30">
        <v>5.9499999999999997E-2</v>
      </c>
      <c r="I18" s="31">
        <v>9.1999999999999998E-2</v>
      </c>
      <c r="J18" s="32">
        <v>4.7E-2</v>
      </c>
      <c r="K18" s="30">
        <v>0.16</v>
      </c>
      <c r="L18" s="31">
        <v>0.35</v>
      </c>
      <c r="M18" s="32">
        <v>0.24399999999999999</v>
      </c>
      <c r="N18" s="106">
        <f t="shared" si="6"/>
        <v>0.15007729468599032</v>
      </c>
      <c r="O18" s="127">
        <f t="shared" si="3"/>
        <v>8.1195506125282799E-2</v>
      </c>
      <c r="P18" s="23"/>
    </row>
    <row r="19" spans="1:16" ht="16.5" thickBot="1" x14ac:dyDescent="0.3">
      <c r="A19" s="89" t="s">
        <v>8</v>
      </c>
      <c r="B19" s="138" t="s">
        <v>76</v>
      </c>
      <c r="C19" s="98">
        <v>8.0000000000000002E-3</v>
      </c>
      <c r="D19" s="139">
        <v>8.0000000000000002E-3</v>
      </c>
      <c r="E19" s="107">
        <v>0</v>
      </c>
      <c r="F19" s="109">
        <v>0</v>
      </c>
      <c r="G19" s="32">
        <v>0</v>
      </c>
      <c r="H19" s="30">
        <v>0</v>
      </c>
      <c r="I19" s="31">
        <v>0</v>
      </c>
      <c r="J19" s="32">
        <v>0</v>
      </c>
      <c r="K19" s="30">
        <v>0.01</v>
      </c>
      <c r="L19" s="31">
        <v>1.4E-2</v>
      </c>
      <c r="M19" s="32">
        <v>1.4999999999999999E-2</v>
      </c>
      <c r="N19" s="106">
        <f>(C19*C$1*1.5+D19*C$1*1.5+E19*F$1+F19*F$1+G19*F$1+K19*L$1+L19*L$1+M19*L$1+H19*I$1+I19*I$1+J19*I$1)/(C$1*3+F$1*3+L$1*3+I$1*3)</f>
        <v>5.3768115942028983E-3</v>
      </c>
      <c r="O19" s="127">
        <f>((1.5*C$1*(C19-N19)^2+1.5*C$1*(D19-N19)^2+F$1*(E19-N19)^2+F$1*(F19-N19)^2+F$1*(G19-N19)^2+L$1*(K19-N19)^2+L$1*(L19-N19)^2+L$1*(M19-N19)^2+I$1*(H19-N19)^2+I$1*(I19-N19)^2+I$1*(J19-N19)^2)/((10*(C$1*3+F$1*3+L$1*3+I$1*3))/11))^(0.5)</f>
        <v>5.6722349305481342E-3</v>
      </c>
      <c r="P19" s="23"/>
    </row>
    <row r="20" spans="1:16" ht="16.5" thickBot="1" x14ac:dyDescent="0.3">
      <c r="A20" s="89" t="s">
        <v>73</v>
      </c>
      <c r="B20" s="138">
        <v>0</v>
      </c>
      <c r="C20" s="98">
        <v>0.16200000000000001</v>
      </c>
      <c r="D20" s="139">
        <v>0.155</v>
      </c>
      <c r="E20" s="107">
        <v>0</v>
      </c>
      <c r="F20" s="31">
        <v>0</v>
      </c>
      <c r="G20" s="32">
        <v>0</v>
      </c>
      <c r="H20" s="30">
        <v>2.7E-2</v>
      </c>
      <c r="I20" s="31">
        <v>0.05</v>
      </c>
      <c r="J20" s="32">
        <v>3.5999999999999997E-2</v>
      </c>
      <c r="K20" s="30">
        <v>0</v>
      </c>
      <c r="L20" s="31">
        <v>0</v>
      </c>
      <c r="M20" s="32">
        <v>0</v>
      </c>
      <c r="N20" s="106">
        <f>(B20*C$1+C20*C$1+D20*C$1+E20*F$1+F20*F$1+G20*F$1+K20*L$1+L20*L$1+M20*L$1+H20*I$1+I20*I$1+J20*I$1)/(C$1*3+F$1*3+L$1*3+I$1*3)</f>
        <v>4.242512077294687E-2</v>
      </c>
      <c r="O20" s="127">
        <f t="shared" si="3"/>
        <v>6.5163849001702107E-2</v>
      </c>
      <c r="P20" s="23"/>
    </row>
    <row r="21" spans="1:16" ht="16.5" thickBot="1" x14ac:dyDescent="0.3">
      <c r="A21" s="89" t="s">
        <v>9</v>
      </c>
      <c r="B21" s="138">
        <f>3.55/10</f>
        <v>0.35499999999999998</v>
      </c>
      <c r="C21" s="98">
        <v>0.47899999999999998</v>
      </c>
      <c r="D21" s="139">
        <v>0.38400000000000001</v>
      </c>
      <c r="E21" s="104">
        <v>0.01</v>
      </c>
      <c r="F21" s="105">
        <v>0.01</v>
      </c>
      <c r="G21" s="32">
        <v>0</v>
      </c>
      <c r="H21" s="30">
        <v>0</v>
      </c>
      <c r="I21" s="31">
        <v>1.2999999999999999E-2</v>
      </c>
      <c r="J21" s="32">
        <v>0</v>
      </c>
      <c r="K21" s="30">
        <v>3.0000000000000001E-3</v>
      </c>
      <c r="L21" s="31">
        <v>1.2999999999999999E-2</v>
      </c>
      <c r="M21" s="32">
        <v>1.2E-2</v>
      </c>
      <c r="N21" s="106">
        <f>(B21*C$1+C21*C$1+D21*C$1+E21*F$1+F21*F$1+G21*F$1+K21*L$1+L21*L$1+M21*L$1+H21*I$1+I21*I$1+J21*I$1)/(C$1*3+F$1*3+L$1*3+I$1*3)</f>
        <v>0.13402898550724637</v>
      </c>
      <c r="O21" s="127">
        <f t="shared" si="3"/>
        <v>0.19689979027466717</v>
      </c>
      <c r="P21" s="23"/>
    </row>
    <row r="22" spans="1:16" ht="16.5" thickBot="1" x14ac:dyDescent="0.3">
      <c r="A22" s="92" t="s">
        <v>10</v>
      </c>
      <c r="B22" s="138" t="s">
        <v>76</v>
      </c>
      <c r="C22" s="100">
        <v>2.3E-2</v>
      </c>
      <c r="D22" s="142">
        <v>1.4999999999999999E-2</v>
      </c>
      <c r="E22" s="111">
        <v>0</v>
      </c>
      <c r="F22" s="31">
        <v>0</v>
      </c>
      <c r="G22" s="32">
        <v>0</v>
      </c>
      <c r="H22" s="30">
        <v>0</v>
      </c>
      <c r="I22" s="31">
        <v>0</v>
      </c>
      <c r="J22" s="32">
        <v>0</v>
      </c>
      <c r="K22" s="30">
        <v>0</v>
      </c>
      <c r="L22" s="31">
        <v>0</v>
      </c>
      <c r="M22" s="32">
        <v>0</v>
      </c>
      <c r="N22" s="106">
        <f>(C22*C$1*1.5+D22*C$1*1.5+E22*F$1+F22*F$1+G22*F$1+K22*L$1+L22*L$1+M22*L$1+H22*I$1+I22*I$1+J22*I$1)/(C$1*3+F$1*3+L$1*3+I$1*3)</f>
        <v>6.0579710144927539E-3</v>
      </c>
      <c r="O22" s="127">
        <f>((1.5*C$1*(C22-N22)^2+1.5*C$1*(D22-N22)^2+F$1*(E22-N22)^2+F$1*(F22-N22)^2+F$1*(G22-N22)^2+L$1*(K22-N22)^2+L$1*(L22-N22)^2+L$1*(M22-N22)^2+I$1*(H22-N22)^2+I$1*(I22-N22)^2+I$1*(J22-N22)^2)/((10*(C$1*3+F$1*3+L$1*3+I$1*3))/11))^(0.5)</f>
        <v>9.5840635594782696E-3</v>
      </c>
      <c r="P22" s="23"/>
    </row>
    <row r="23" spans="1:16" ht="16.5" thickBot="1" x14ac:dyDescent="0.3">
      <c r="A23" s="92" t="s">
        <v>11</v>
      </c>
      <c r="B23" s="138" t="s">
        <v>76</v>
      </c>
      <c r="C23" s="100">
        <v>1.6E-2</v>
      </c>
      <c r="D23" s="142">
        <v>1.2E-2</v>
      </c>
      <c r="E23" s="111">
        <v>0</v>
      </c>
      <c r="F23" s="31">
        <v>0</v>
      </c>
      <c r="G23" s="32">
        <v>0</v>
      </c>
      <c r="H23" s="30">
        <v>0</v>
      </c>
      <c r="I23" s="31">
        <v>0</v>
      </c>
      <c r="J23" s="32">
        <v>0</v>
      </c>
      <c r="K23" s="30">
        <v>2E-3</v>
      </c>
      <c r="L23" s="31">
        <v>6.0000000000000001E-3</v>
      </c>
      <c r="M23" s="32">
        <v>6.0000000000000001E-3</v>
      </c>
      <c r="N23" s="106">
        <f>(C23*C$1*1.5+D23*C$1*1.5+E23*F$1+F23*F$1+G23*F$1+K23*L$1+L23*L$1+M23*L$1+H23*I$1+I23*I$1+J23*I$1)/(C$1*3+F$1*3+L$1*3+I$1*3)</f>
        <v>5.478260869565218E-3</v>
      </c>
      <c r="O23" s="127">
        <f>((1.5*C$1*(C23-N23)^2+1.5*C$1*(D23-N23)^2+F$1*(E23-N23)^2+F$1*(F23-N23)^2+F$1*(G23-N23)^2+L$1*(K23-N23)^2+L$1*(L23-N23)^2+L$1*(M23-N23)^2+I$1*(H23-N23)^2+I$1*(I23-N23)^2+I$1*(J23-N23)^2)/((10*(C$1*3+F$1*3+L$1*3+I$1*3))/11))^(0.5)</f>
        <v>6.5719420402354607E-3</v>
      </c>
      <c r="P23" s="23"/>
    </row>
    <row r="24" spans="1:16" ht="16.5" thickBot="1" x14ac:dyDescent="0.3">
      <c r="A24" s="92" t="s">
        <v>12</v>
      </c>
      <c r="B24" s="143">
        <v>0</v>
      </c>
      <c r="C24" s="100">
        <v>1.2E-2</v>
      </c>
      <c r="D24" s="142">
        <v>1.2E-2</v>
      </c>
      <c r="E24" s="111">
        <v>0</v>
      </c>
      <c r="F24" s="31">
        <v>0</v>
      </c>
      <c r="G24" s="32">
        <v>0</v>
      </c>
      <c r="H24" s="30">
        <v>0</v>
      </c>
      <c r="I24" s="31">
        <v>0.01</v>
      </c>
      <c r="J24" s="32">
        <v>0</v>
      </c>
      <c r="K24" s="30">
        <v>3.0000000000000001E-3</v>
      </c>
      <c r="L24" s="31">
        <v>1.2E-2</v>
      </c>
      <c r="M24" s="32">
        <v>1.2E-2</v>
      </c>
      <c r="N24" s="106">
        <f t="shared" ref="N24:N36" si="7">(B24*C$1+C24*C$1+D24*C$1+E24*F$1+F24*F$1+G24*F$1+K24*L$1+L24*L$1+M24*L$1+H24*I$1+I24*I$1+J24*I$1)/(C$1*3+F$1*3+L$1*3+I$1*3)</f>
        <v>5.2801932367149756E-3</v>
      </c>
      <c r="O24" s="127">
        <f t="shared" si="3"/>
        <v>5.9064952935122296E-3</v>
      </c>
      <c r="P24" s="23"/>
    </row>
    <row r="25" spans="1:16" ht="16.5" thickBot="1" x14ac:dyDescent="0.3">
      <c r="A25" s="89" t="s">
        <v>13</v>
      </c>
      <c r="B25" s="138">
        <v>0</v>
      </c>
      <c r="C25" s="98">
        <v>2.5999999999999999E-2</v>
      </c>
      <c r="D25" s="139">
        <v>2.1999999999999999E-2</v>
      </c>
      <c r="E25" s="104">
        <v>1.4E-2</v>
      </c>
      <c r="F25" s="105">
        <v>1.4E-2</v>
      </c>
      <c r="G25" s="112">
        <v>0</v>
      </c>
      <c r="H25" s="30">
        <v>7.0000000000000001E-3</v>
      </c>
      <c r="I25" s="31">
        <v>1.4E-2</v>
      </c>
      <c r="J25" s="32">
        <v>1.2999999999999999E-2</v>
      </c>
      <c r="K25" s="30">
        <v>4.0000000000000001E-3</v>
      </c>
      <c r="L25" s="31">
        <v>1.7999999999999999E-2</v>
      </c>
      <c r="M25" s="32">
        <v>1.7000000000000001E-2</v>
      </c>
      <c r="N25" s="106">
        <f t="shared" si="7"/>
        <v>1.2719806763285026E-2</v>
      </c>
      <c r="O25" s="127">
        <f t="shared" si="3"/>
        <v>8.6992643646617747E-3</v>
      </c>
      <c r="P25" s="23"/>
    </row>
    <row r="26" spans="1:16" ht="16.5" thickBot="1" x14ac:dyDescent="0.3">
      <c r="A26" s="89" t="s">
        <v>14</v>
      </c>
      <c r="B26" s="138">
        <f>1.11/10</f>
        <v>0.11100000000000002</v>
      </c>
      <c r="C26" s="98">
        <v>0.13800000000000001</v>
      </c>
      <c r="D26" s="139">
        <v>0.10299999999999999</v>
      </c>
      <c r="E26" s="104">
        <v>0</v>
      </c>
      <c r="F26" s="105">
        <v>3.6999999999999998E-2</v>
      </c>
      <c r="G26" s="113">
        <v>2.5000000000000001E-2</v>
      </c>
      <c r="H26" s="30">
        <v>8.2500000000000004E-2</v>
      </c>
      <c r="I26" s="31">
        <v>0.191</v>
      </c>
      <c r="J26" s="32">
        <v>7.9000000000000001E-2</v>
      </c>
      <c r="K26" s="30">
        <v>0.107</v>
      </c>
      <c r="L26" s="31">
        <v>0.20300000000000001</v>
      </c>
      <c r="M26" s="32">
        <v>0.217</v>
      </c>
      <c r="N26" s="106">
        <f t="shared" si="7"/>
        <v>0.1076376811594203</v>
      </c>
      <c r="O26" s="127">
        <f t="shared" si="3"/>
        <v>6.6760690985046167E-2</v>
      </c>
      <c r="P26" s="23"/>
    </row>
    <row r="27" spans="1:16" ht="16.5" thickBot="1" x14ac:dyDescent="0.3">
      <c r="A27" s="89" t="s">
        <v>15</v>
      </c>
      <c r="B27" s="138">
        <v>2.9000000000000001E-2</v>
      </c>
      <c r="C27" s="98">
        <v>3.2000000000000001E-2</v>
      </c>
      <c r="D27" s="139">
        <v>2.5999999999999999E-2</v>
      </c>
      <c r="E27" s="104">
        <v>1.7000000000000001E-2</v>
      </c>
      <c r="F27" s="105">
        <v>1.7000000000000001E-2</v>
      </c>
      <c r="G27" s="32">
        <v>0.02</v>
      </c>
      <c r="H27" s="30">
        <v>9.4999999999999998E-3</v>
      </c>
      <c r="I27" s="31">
        <v>1.4E-2</v>
      </c>
      <c r="J27" s="32">
        <v>1.0999999999999999E-2</v>
      </c>
      <c r="K27" s="30">
        <v>0.03</v>
      </c>
      <c r="L27" s="31">
        <v>4.3999999999999997E-2</v>
      </c>
      <c r="M27" s="32">
        <v>3.9E-2</v>
      </c>
      <c r="N27" s="106">
        <f t="shared" si="7"/>
        <v>2.4275362318840581E-2</v>
      </c>
      <c r="O27" s="127">
        <f t="shared" si="3"/>
        <v>1.0629043748288743E-2</v>
      </c>
      <c r="P27" s="23"/>
    </row>
    <row r="28" spans="1:16" ht="16.5" thickBot="1" x14ac:dyDescent="0.3">
      <c r="A28" s="89" t="s">
        <v>16</v>
      </c>
      <c r="B28" s="138">
        <f>0.39/10</f>
        <v>3.9E-2</v>
      </c>
      <c r="C28" s="98">
        <v>2.5999999999999999E-2</v>
      </c>
      <c r="D28" s="139">
        <v>2.3E-2</v>
      </c>
      <c r="E28" s="104">
        <v>2.1000000000000001E-2</v>
      </c>
      <c r="F28" s="105">
        <v>0.02</v>
      </c>
      <c r="G28" s="32">
        <v>1.6E-2</v>
      </c>
      <c r="H28" s="30">
        <v>1.55E-2</v>
      </c>
      <c r="I28" s="31">
        <v>2.4E-2</v>
      </c>
      <c r="J28" s="32">
        <v>1.9E-2</v>
      </c>
      <c r="K28" s="30">
        <v>1.0999999999999999E-2</v>
      </c>
      <c r="L28" s="31">
        <v>2.8000000000000001E-2</v>
      </c>
      <c r="M28" s="32">
        <v>2.8000000000000001E-2</v>
      </c>
      <c r="N28" s="106">
        <f t="shared" si="7"/>
        <v>2.3135265700483094E-2</v>
      </c>
      <c r="O28" s="127">
        <f t="shared" si="3"/>
        <v>7.5792562618592508E-3</v>
      </c>
      <c r="P28" s="23"/>
    </row>
    <row r="29" spans="1:16" ht="16.5" thickBot="1" x14ac:dyDescent="0.3">
      <c r="A29" s="91" t="s">
        <v>17</v>
      </c>
      <c r="B29" s="138">
        <f>0.6/10</f>
        <v>0.06</v>
      </c>
      <c r="C29" s="98">
        <v>0.109</v>
      </c>
      <c r="D29" s="139">
        <v>0.10199999999999999</v>
      </c>
      <c r="E29" s="110">
        <v>3.5000000000000003E-2</v>
      </c>
      <c r="F29" s="105">
        <v>0.03</v>
      </c>
      <c r="G29" s="32">
        <v>0</v>
      </c>
      <c r="H29" s="30">
        <v>0.02</v>
      </c>
      <c r="I29" s="31">
        <v>5.0999999999999997E-2</v>
      </c>
      <c r="J29" s="32">
        <v>3.3000000000000002E-2</v>
      </c>
      <c r="K29" s="30">
        <v>4.3999999999999997E-2</v>
      </c>
      <c r="L29" s="31">
        <v>0.1</v>
      </c>
      <c r="M29" s="32">
        <v>8.8999999999999996E-2</v>
      </c>
      <c r="N29" s="106">
        <f t="shared" si="7"/>
        <v>5.8748792270531411E-2</v>
      </c>
      <c r="O29" s="127">
        <f t="shared" si="3"/>
        <v>3.6465800549823214E-2</v>
      </c>
      <c r="P29" s="23"/>
    </row>
    <row r="30" spans="1:16" ht="16.5" thickBot="1" x14ac:dyDescent="0.3">
      <c r="A30" s="92" t="s">
        <v>18</v>
      </c>
      <c r="B30" s="143">
        <v>0</v>
      </c>
      <c r="C30" s="100">
        <v>0</v>
      </c>
      <c r="D30" s="142"/>
      <c r="E30" s="111">
        <v>0</v>
      </c>
      <c r="F30" s="109">
        <v>0</v>
      </c>
      <c r="G30" s="32">
        <v>0</v>
      </c>
      <c r="H30" s="30">
        <v>0</v>
      </c>
      <c r="I30" s="31">
        <v>0</v>
      </c>
      <c r="J30" s="32">
        <v>0</v>
      </c>
      <c r="K30" s="30">
        <v>0</v>
      </c>
      <c r="L30" s="31">
        <v>0</v>
      </c>
      <c r="M30" s="32">
        <v>0</v>
      </c>
      <c r="N30" s="106">
        <f t="shared" si="7"/>
        <v>0</v>
      </c>
      <c r="O30" s="127">
        <f t="shared" si="3"/>
        <v>0</v>
      </c>
      <c r="P30" s="23"/>
    </row>
    <row r="31" spans="1:16" ht="16.5" thickBot="1" x14ac:dyDescent="0.3">
      <c r="A31" s="92" t="s">
        <v>19</v>
      </c>
      <c r="B31" s="143">
        <v>0</v>
      </c>
      <c r="C31" s="100">
        <v>0</v>
      </c>
      <c r="D31" s="142">
        <v>0</v>
      </c>
      <c r="E31" s="111">
        <v>0</v>
      </c>
      <c r="F31" s="109">
        <v>0</v>
      </c>
      <c r="G31" s="32">
        <v>0</v>
      </c>
      <c r="H31" s="30">
        <v>0</v>
      </c>
      <c r="I31" s="31">
        <v>0</v>
      </c>
      <c r="J31" s="32">
        <v>0</v>
      </c>
      <c r="K31" s="30">
        <v>0</v>
      </c>
      <c r="L31" s="31">
        <v>0</v>
      </c>
      <c r="M31" s="32">
        <v>0</v>
      </c>
      <c r="N31" s="106">
        <f t="shared" si="7"/>
        <v>0</v>
      </c>
      <c r="O31" s="127">
        <f t="shared" si="3"/>
        <v>0</v>
      </c>
      <c r="P31" s="23"/>
    </row>
    <row r="32" spans="1:16" ht="16.5" thickBot="1" x14ac:dyDescent="0.3">
      <c r="A32" s="15" t="s">
        <v>20</v>
      </c>
      <c r="B32" s="144">
        <v>0</v>
      </c>
      <c r="C32" s="145">
        <v>0</v>
      </c>
      <c r="D32" s="146">
        <v>0</v>
      </c>
      <c r="E32" s="30">
        <v>0</v>
      </c>
      <c r="F32" s="109">
        <v>0</v>
      </c>
      <c r="G32" s="32">
        <v>0</v>
      </c>
      <c r="H32" s="30">
        <v>0</v>
      </c>
      <c r="I32" s="31">
        <v>0</v>
      </c>
      <c r="J32" s="32">
        <v>0</v>
      </c>
      <c r="K32" s="30">
        <v>0</v>
      </c>
      <c r="L32" s="31">
        <v>0</v>
      </c>
      <c r="M32" s="32">
        <v>0</v>
      </c>
      <c r="N32" s="106">
        <f t="shared" si="7"/>
        <v>0</v>
      </c>
      <c r="O32" s="127">
        <f t="shared" si="3"/>
        <v>0</v>
      </c>
      <c r="P32" s="23"/>
    </row>
    <row r="33" spans="1:16" ht="16.5" thickBot="1" x14ac:dyDescent="0.3">
      <c r="A33" s="91" t="s">
        <v>74</v>
      </c>
      <c r="B33" s="138">
        <f>1.08/10</f>
        <v>0.10800000000000001</v>
      </c>
      <c r="C33" s="98">
        <v>0.14199999999999999</v>
      </c>
      <c r="D33" s="139">
        <v>0.10199999999999999</v>
      </c>
      <c r="E33" s="110">
        <v>0.23300000000000001</v>
      </c>
      <c r="F33" s="105">
        <v>0.152</v>
      </c>
      <c r="G33" s="32">
        <v>0.28100000000000003</v>
      </c>
      <c r="H33" s="30">
        <v>8.5000000000000006E-2</v>
      </c>
      <c r="I33" s="31">
        <v>0.11</v>
      </c>
      <c r="J33" s="32">
        <v>6.8000000000000005E-2</v>
      </c>
      <c r="K33" s="30">
        <v>0.28399999999999997</v>
      </c>
      <c r="L33" s="31">
        <v>0.312</v>
      </c>
      <c r="M33" s="32">
        <v>0.498</v>
      </c>
      <c r="N33" s="106">
        <f t="shared" si="7"/>
        <v>0.18849275362318837</v>
      </c>
      <c r="O33" s="127">
        <f t="shared" si="3"/>
        <v>0.12254227823853944</v>
      </c>
      <c r="P33" s="23"/>
    </row>
    <row r="34" spans="1:16" ht="16.5" thickBot="1" x14ac:dyDescent="0.3">
      <c r="A34" s="91" t="s">
        <v>21</v>
      </c>
      <c r="B34" s="138">
        <v>0</v>
      </c>
      <c r="C34" s="98">
        <v>0</v>
      </c>
      <c r="D34" s="139">
        <v>0</v>
      </c>
      <c r="E34" s="110">
        <v>0</v>
      </c>
      <c r="F34" s="105">
        <v>0</v>
      </c>
      <c r="G34" s="32">
        <v>0</v>
      </c>
      <c r="H34" s="30">
        <v>0</v>
      </c>
      <c r="I34" s="31">
        <v>0</v>
      </c>
      <c r="J34" s="32">
        <v>0</v>
      </c>
      <c r="K34" s="30">
        <v>2.3E-2</v>
      </c>
      <c r="L34" s="31">
        <v>2.3E-2</v>
      </c>
      <c r="M34" s="32">
        <v>3.5999999999999997E-2</v>
      </c>
      <c r="N34" s="106">
        <f t="shared" si="7"/>
        <v>5.9420289855072464E-3</v>
      </c>
      <c r="O34" s="127">
        <f t="shared" si="3"/>
        <v>1.2147816938797277E-2</v>
      </c>
      <c r="P34" s="23"/>
    </row>
    <row r="35" spans="1:16" ht="16.5" thickBot="1" x14ac:dyDescent="0.3">
      <c r="A35" s="91" t="s">
        <v>22</v>
      </c>
      <c r="B35" s="138">
        <f>0.26/10</f>
        <v>2.6000000000000002E-2</v>
      </c>
      <c r="C35" s="98">
        <v>5.1999999999999998E-2</v>
      </c>
      <c r="D35" s="139">
        <v>3.9E-2</v>
      </c>
      <c r="E35" s="110">
        <v>6.8000000000000005E-2</v>
      </c>
      <c r="F35" s="105">
        <v>4.5999999999999999E-2</v>
      </c>
      <c r="G35" s="32">
        <v>0.08</v>
      </c>
      <c r="H35" s="30">
        <v>2.6499999999999999E-2</v>
      </c>
      <c r="I35" s="31">
        <v>3.5999999999999997E-2</v>
      </c>
      <c r="J35" s="32">
        <v>2.3E-2</v>
      </c>
      <c r="K35" s="30">
        <v>0.16200000000000001</v>
      </c>
      <c r="L35" s="31">
        <v>0.16900000000000001</v>
      </c>
      <c r="M35" s="32">
        <v>0.27300000000000002</v>
      </c>
      <c r="N35" s="106">
        <f t="shared" si="7"/>
        <v>7.7806763285024158E-2</v>
      </c>
      <c r="O35" s="127">
        <f t="shared" si="3"/>
        <v>7.4223331069151008E-2</v>
      </c>
      <c r="P35" s="23"/>
    </row>
    <row r="36" spans="1:16" ht="16.5" thickBot="1" x14ac:dyDescent="0.3">
      <c r="A36" s="89" t="s">
        <v>23</v>
      </c>
      <c r="B36" s="138">
        <v>0</v>
      </c>
      <c r="C36" s="98">
        <v>0</v>
      </c>
      <c r="D36" s="139">
        <v>0</v>
      </c>
      <c r="E36" s="107">
        <v>0</v>
      </c>
      <c r="F36" s="31">
        <v>0</v>
      </c>
      <c r="G36" s="32">
        <v>0</v>
      </c>
      <c r="H36" s="30">
        <v>0</v>
      </c>
      <c r="I36" s="31">
        <v>0</v>
      </c>
      <c r="J36" s="32">
        <v>0</v>
      </c>
      <c r="K36" s="30">
        <v>0</v>
      </c>
      <c r="L36" s="31">
        <v>0</v>
      </c>
      <c r="M36" s="32">
        <v>0</v>
      </c>
      <c r="N36" s="106">
        <f t="shared" si="7"/>
        <v>0</v>
      </c>
      <c r="O36" s="127">
        <f t="shared" si="3"/>
        <v>0</v>
      </c>
      <c r="P36" s="23"/>
    </row>
    <row r="37" spans="1:16" ht="16.5" thickBot="1" x14ac:dyDescent="0.3">
      <c r="A37" s="89" t="s">
        <v>24</v>
      </c>
      <c r="B37" s="138" t="s">
        <v>76</v>
      </c>
      <c r="C37" s="98">
        <v>0.13600000000000001</v>
      </c>
      <c r="D37" s="139">
        <v>0.10100000000000001</v>
      </c>
      <c r="E37" s="104">
        <v>0.27600000000000002</v>
      </c>
      <c r="F37" s="105">
        <v>0.216</v>
      </c>
      <c r="G37" s="32">
        <v>0</v>
      </c>
      <c r="H37" s="30">
        <v>0.01</v>
      </c>
      <c r="I37" s="31">
        <v>6.9000000000000006E-2</v>
      </c>
      <c r="J37" s="32">
        <v>6.2E-2</v>
      </c>
      <c r="K37" s="30">
        <v>0.14199999999999999</v>
      </c>
      <c r="L37" s="31">
        <v>0.316</v>
      </c>
      <c r="M37" s="32">
        <v>0.36699999999999999</v>
      </c>
      <c r="N37" s="106">
        <f>(C37*C$1*1.5+D37*C$1*1.5+E37*F$1+F37*F$1+G37*F$1+K37*L$1+L37*L$1+M37*L$1+H37*I$1+I37*I$1+J37*I$1)/(C$1*3+F$1*3+L$1*3+I$1*3)</f>
        <v>0.14649275362318842</v>
      </c>
      <c r="O37" s="127">
        <f>((1.5*C$1*(C37-N37)^2+1.5*C$1*(D37-N37)^2+F$1*(E37-N37)^2+F$1*(F37-N37)^2+F$1*(G37-N37)^2+L$1*(K37-N37)^2+L$1*(L37-N37)^2+L$1*(M37-N37)^2+I$1*(H37-N37)^2+I$1*(I37-N37)^2+I$1*(J37-N37)^2)/((10*(C$1*3+F$1*3+L$1*3+I$1*3))/11))^(0.5)</f>
        <v>0.11363514614688347</v>
      </c>
      <c r="P37" s="23"/>
    </row>
    <row r="38" spans="1:16" ht="16.5" thickBot="1" x14ac:dyDescent="0.3">
      <c r="A38" s="92" t="s">
        <v>25</v>
      </c>
      <c r="B38" s="143">
        <v>0</v>
      </c>
      <c r="C38" s="100">
        <v>0</v>
      </c>
      <c r="D38" s="142">
        <v>0</v>
      </c>
      <c r="E38" s="114">
        <v>0</v>
      </c>
      <c r="F38" s="115">
        <v>0</v>
      </c>
      <c r="G38" s="32">
        <v>0</v>
      </c>
      <c r="H38" s="30">
        <v>0</v>
      </c>
      <c r="I38" s="31">
        <v>0</v>
      </c>
      <c r="J38" s="32">
        <v>0</v>
      </c>
      <c r="K38" s="30">
        <v>0</v>
      </c>
      <c r="L38" s="31">
        <v>0</v>
      </c>
      <c r="M38" s="32">
        <v>0</v>
      </c>
      <c r="N38" s="106">
        <f>(B38*C$1+C38*C$1+D38*C$1+E38*F$1+F38*F$1+G38*F$1+K38*L$1+L38*L$1+M38*L$1+H38*I$1+I38*I$1+J38*I$1)/(C$1*3+F$1*3+L$1*3+I$1*3)</f>
        <v>0</v>
      </c>
      <c r="O38" s="127">
        <f t="shared" si="3"/>
        <v>0</v>
      </c>
      <c r="P38" s="23"/>
    </row>
    <row r="39" spans="1:16" ht="16.5" thickBot="1" x14ac:dyDescent="0.3">
      <c r="A39" s="89" t="s">
        <v>26</v>
      </c>
      <c r="B39" s="138">
        <f>0.18/10</f>
        <v>1.7999999999999999E-2</v>
      </c>
      <c r="C39" s="98">
        <v>5.7000000000000002E-2</v>
      </c>
      <c r="D39" s="139">
        <v>3.9E-2</v>
      </c>
      <c r="E39" s="104">
        <v>0</v>
      </c>
      <c r="F39" s="105">
        <v>0</v>
      </c>
      <c r="G39" s="32">
        <v>0</v>
      </c>
      <c r="H39" s="30">
        <v>0.11799999999999999</v>
      </c>
      <c r="I39" s="31">
        <v>0.17</v>
      </c>
      <c r="J39" s="32">
        <v>6.7000000000000004E-2</v>
      </c>
      <c r="K39" s="30">
        <v>0.10199999999999999</v>
      </c>
      <c r="L39" s="31">
        <v>0.108</v>
      </c>
      <c r="M39" s="32">
        <v>0.19</v>
      </c>
      <c r="N39" s="106">
        <f>(B39*C$1+C39*C$1+D39*C$1+E39*F$1+F39*F$1+G39*F$1+K39*L$1+L39*L$1+M39*L$1+H39*I$1+I39*I$1+J39*I$1)/(C$1*3+F$1*3+L$1*3+I$1*3)</f>
        <v>6.8541062801932381E-2</v>
      </c>
      <c r="O39" s="127">
        <f t="shared" si="3"/>
        <v>6.3666431483518068E-2</v>
      </c>
      <c r="P39" s="23"/>
    </row>
    <row r="40" spans="1:16" ht="16.5" thickBot="1" x14ac:dyDescent="0.3">
      <c r="A40" s="135" t="s">
        <v>27</v>
      </c>
      <c r="B40" s="138">
        <v>0</v>
      </c>
      <c r="C40" s="98">
        <v>0</v>
      </c>
      <c r="D40" s="139">
        <v>0</v>
      </c>
      <c r="E40" s="110">
        <v>2.5000000000000001E-2</v>
      </c>
      <c r="F40" s="105">
        <v>1.4999999999999999E-2</v>
      </c>
      <c r="G40" s="32">
        <v>2.5000000000000001E-2</v>
      </c>
      <c r="H40" s="30">
        <v>6.4500000000000002E-2</v>
      </c>
      <c r="I40" s="31">
        <v>8.5999999999999993E-2</v>
      </c>
      <c r="J40" s="32">
        <v>3.5000000000000003E-2</v>
      </c>
      <c r="K40" s="36">
        <v>7.6999999999999999E-2</v>
      </c>
      <c r="L40" s="35">
        <v>0.06</v>
      </c>
      <c r="M40" s="37">
        <v>0.128</v>
      </c>
      <c r="N40" s="106">
        <f>(B40*C$1+C40*C$1+D40*C$1+E40*F$1+F40*F$1+G40*F$1+K40*L$1+L40*L$1+M40*L$1+H40*I$1+I40*I$1+J40*I$1)/(C$1*3+F$1*3+L$1*3+I$1*3)</f>
        <v>3.8565217391304349E-2</v>
      </c>
      <c r="O40" s="127">
        <f t="shared" si="3"/>
        <v>4.0349518387116985E-2</v>
      </c>
      <c r="P40" s="41"/>
    </row>
  </sheetData>
  <mergeCells count="9">
    <mergeCell ref="N3:P3"/>
    <mergeCell ref="B3:D3"/>
    <mergeCell ref="B10:D10"/>
    <mergeCell ref="E3:G3"/>
    <mergeCell ref="H3:J3"/>
    <mergeCell ref="K3:M3"/>
    <mergeCell ref="E10:G10"/>
    <mergeCell ref="K10:M10"/>
    <mergeCell ref="H10:J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D58A-E0C0-423A-BE91-1016E4A5C1C0}">
  <dimension ref="A1:L44"/>
  <sheetViews>
    <sheetView tabSelected="1" workbookViewId="0">
      <selection activeCell="D48" sqref="D48"/>
    </sheetView>
  </sheetViews>
  <sheetFormatPr defaultRowHeight="15.75" x14ac:dyDescent="0.25"/>
  <cols>
    <col min="1" max="1" width="29.5" customWidth="1"/>
    <col min="2" max="2" width="12.25" customWidth="1"/>
    <col min="3" max="3" width="17.5" customWidth="1"/>
    <col min="4" max="4" width="14" customWidth="1"/>
    <col min="5" max="5" width="14.75" customWidth="1"/>
    <col min="6" max="6" width="10" bestFit="1" customWidth="1"/>
    <col min="7" max="7" width="11.375" bestFit="1" customWidth="1"/>
    <col min="8" max="8" width="17.625" customWidth="1"/>
    <col min="9" max="9" width="12" customWidth="1"/>
    <col min="10" max="10" width="11" bestFit="1" customWidth="1"/>
    <col min="11" max="11" width="9.375" bestFit="1" customWidth="1"/>
  </cols>
  <sheetData>
    <row r="1" spans="1:12" x14ac:dyDescent="0.25">
      <c r="A1" t="s">
        <v>81</v>
      </c>
      <c r="B1" t="s">
        <v>70</v>
      </c>
      <c r="C1" t="s">
        <v>71</v>
      </c>
      <c r="D1" t="s">
        <v>70</v>
      </c>
      <c r="E1" t="s">
        <v>71</v>
      </c>
    </row>
    <row r="2" spans="1:12" ht="16.5" thickBot="1" x14ac:dyDescent="0.3">
      <c r="A2" t="s">
        <v>82</v>
      </c>
      <c r="B2">
        <v>12</v>
      </c>
      <c r="C2">
        <v>11</v>
      </c>
      <c r="D2">
        <v>12</v>
      </c>
      <c r="E2">
        <v>11</v>
      </c>
    </row>
    <row r="3" spans="1:12" ht="16.5" thickBot="1" x14ac:dyDescent="0.3">
      <c r="A3" s="8" t="s">
        <v>64</v>
      </c>
      <c r="B3" s="63" t="s">
        <v>77</v>
      </c>
      <c r="C3" s="64" t="s">
        <v>59</v>
      </c>
      <c r="D3" s="8" t="s">
        <v>87</v>
      </c>
      <c r="E3" s="58" t="s">
        <v>59</v>
      </c>
      <c r="F3" s="8" t="s">
        <v>62</v>
      </c>
      <c r="G3" s="58" t="s">
        <v>54</v>
      </c>
      <c r="H3" s="57" t="s">
        <v>61</v>
      </c>
      <c r="I3" s="57" t="s">
        <v>60</v>
      </c>
      <c r="J3" s="57" t="s">
        <v>56</v>
      </c>
      <c r="K3" s="58" t="s">
        <v>63</v>
      </c>
    </row>
    <row r="4" spans="1:12" ht="16.5" thickBot="1" x14ac:dyDescent="0.3">
      <c r="A4" s="26" t="s">
        <v>69</v>
      </c>
      <c r="B4" s="65"/>
      <c r="C4" s="66"/>
      <c r="D4" s="59"/>
      <c r="E4" s="61"/>
      <c r="F4" s="59"/>
      <c r="G4" s="61"/>
      <c r="H4" s="76"/>
      <c r="I4" s="76"/>
      <c r="J4" s="76"/>
      <c r="K4" s="75"/>
      <c r="L4" t="s">
        <v>90</v>
      </c>
    </row>
    <row r="5" spans="1:12" x14ac:dyDescent="0.25">
      <c r="A5" s="54" t="s">
        <v>57</v>
      </c>
      <c r="B5" s="85">
        <v>1.8495679824561404</v>
      </c>
      <c r="C5" s="129">
        <v>0.82147454930121022</v>
      </c>
      <c r="D5" s="106">
        <v>1.6213623188405797</v>
      </c>
      <c r="E5" s="127">
        <v>0.40833007280731176</v>
      </c>
      <c r="F5" s="33">
        <f>(B5-D5)/(B5+D5)</f>
        <v>6.5747694077954943E-2</v>
      </c>
      <c r="G5" s="29">
        <f>_xlfn.T.DIST.2T(ABS(J5), K5)</f>
        <v>0.4015617183398329</v>
      </c>
      <c r="H5" s="39">
        <f t="shared" ref="H5:H10" si="0">B5-D5</f>
        <v>0.22820566361556072</v>
      </c>
      <c r="I5" s="38">
        <f>(((C5^2)/B$2)+((E5^2)/D$2))^0.5</f>
        <v>0.26481973169001383</v>
      </c>
      <c r="J5" s="38">
        <f t="shared" ref="J5:J10" si="1">H5/I5</f>
        <v>0.86173965270340236</v>
      </c>
      <c r="K5" s="40">
        <f>((((C5^2)/B$2)+((E5^2)/D$2))^2)/(((((C5^2)/B$2)^2)/C$2)+((((E5^2)/D$2)^2)/E$2))</f>
        <v>16.122975702538916</v>
      </c>
      <c r="L5">
        <f>(((I5/(B5+D5))^2+(I5/(B5-D5))^2)^0.5)*F5</f>
        <v>7.6461198411045483E-2</v>
      </c>
    </row>
    <row r="6" spans="1:12" x14ac:dyDescent="0.25">
      <c r="A6" s="55" t="s">
        <v>49</v>
      </c>
      <c r="B6" s="77">
        <v>18.01366245616228</v>
      </c>
      <c r="C6" s="127">
        <v>3.571206592336134</v>
      </c>
      <c r="D6" s="106">
        <v>13.666047371053139</v>
      </c>
      <c r="E6" s="127">
        <v>4.2331021931369355</v>
      </c>
      <c r="F6" s="30">
        <f>(B6-D6)/(B6+D6)</f>
        <v>0.13723658167393279</v>
      </c>
      <c r="G6" s="31">
        <f>_xlfn.T.DIST.2T(ABS(J6), K6)</f>
        <v>1.2845971535401211E-2</v>
      </c>
      <c r="H6" s="21">
        <f t="shared" si="0"/>
        <v>4.3476150851091404</v>
      </c>
      <c r="I6" s="22">
        <f t="shared" ref="I6:I9" si="2">(((C6^2)/B$2)+((E6^2)/D$2))^0.5</f>
        <v>1.5987669911186191</v>
      </c>
      <c r="J6" s="22">
        <f t="shared" si="1"/>
        <v>2.7193550462705125</v>
      </c>
      <c r="K6" s="23">
        <f t="shared" ref="K6:K9" si="3">((((C6^2)/B$2)+((E6^2)/D$2))^2)/(((((C6^2)/B$2)^2)/C$2)+((((E6^2)/D$2)^2)/E$2))</f>
        <v>21.393234138500112</v>
      </c>
      <c r="L6">
        <f t="shared" ref="L6:L41" si="4">(((I6/(B6+D6))^2+(I6/(B6-D6))^2)^0.5)*F6</f>
        <v>5.0939616041106105E-2</v>
      </c>
    </row>
    <row r="7" spans="1:12" x14ac:dyDescent="0.25">
      <c r="A7" s="55" t="s">
        <v>50</v>
      </c>
      <c r="B7" s="77">
        <v>7.5196820175701756E-2</v>
      </c>
      <c r="C7" s="127">
        <v>0.10361360432293404</v>
      </c>
      <c r="D7" s="106">
        <v>2.6173668883416421</v>
      </c>
      <c r="E7" s="127">
        <v>4.8507535646530346</v>
      </c>
      <c r="F7" s="30">
        <f>(B7-D7)/(B7+D7)</f>
        <v>-0.94414481637865599</v>
      </c>
      <c r="G7" s="31">
        <f>_xlfn.T.DIST.2T(ABS(J7), K7)</f>
        <v>9.6851183516293418E-2</v>
      </c>
      <c r="H7" s="21">
        <f t="shared" si="0"/>
        <v>-2.5421700681659405</v>
      </c>
      <c r="I7" s="22">
        <f t="shared" si="2"/>
        <v>1.4006113523504331</v>
      </c>
      <c r="J7" s="22">
        <f t="shared" si="1"/>
        <v>-1.8150431694701052</v>
      </c>
      <c r="K7" s="23">
        <f t="shared" si="3"/>
        <v>11.010037781324774</v>
      </c>
      <c r="L7">
        <f t="shared" si="4"/>
        <v>-0.71539257723474059</v>
      </c>
    </row>
    <row r="8" spans="1:12" x14ac:dyDescent="0.25">
      <c r="A8" s="55" t="s">
        <v>51</v>
      </c>
      <c r="B8" s="77">
        <v>0.67523862938596502</v>
      </c>
      <c r="C8" s="127">
        <v>0.5618273172971282</v>
      </c>
      <c r="D8" s="106">
        <v>0.76046334138743954</v>
      </c>
      <c r="E8" s="127">
        <v>0.46650045975853038</v>
      </c>
      <c r="F8" s="30">
        <f>(B8-D8)/(B8+D8)</f>
        <v>-5.9361005094646799E-2</v>
      </c>
      <c r="G8" s="31">
        <f>_xlfn.T.DIST.2T(ABS(J8), K8)</f>
        <v>0.69009519738072311</v>
      </c>
      <c r="H8" s="21">
        <f t="shared" si="0"/>
        <v>-8.5224712001474523E-2</v>
      </c>
      <c r="I8" s="22">
        <f t="shared" si="2"/>
        <v>0.21080650950895866</v>
      </c>
      <c r="J8" s="22">
        <f t="shared" si="1"/>
        <v>-0.40427931850867593</v>
      </c>
      <c r="K8" s="23">
        <f t="shared" si="3"/>
        <v>21.280906681824195</v>
      </c>
      <c r="L8">
        <f t="shared" si="4"/>
        <v>-0.14709013408877017</v>
      </c>
    </row>
    <row r="9" spans="1:12" ht="16.5" thickBot="1" x14ac:dyDescent="0.3">
      <c r="A9" s="56" t="s">
        <v>52</v>
      </c>
      <c r="B9" s="126">
        <v>0.12505428837960528</v>
      </c>
      <c r="C9" s="130">
        <v>6.5870520627099263E-2</v>
      </c>
      <c r="D9" s="106">
        <v>0.20770813610192271</v>
      </c>
      <c r="E9" s="127">
        <v>0.15969627603823636</v>
      </c>
      <c r="F9" s="36">
        <f>(B9-D9)/(B9+D9)</f>
        <v>-0.24838696211298231</v>
      </c>
      <c r="G9" s="35">
        <f>_xlfn.T.DIST.2T(ABS(J9), K9)</f>
        <v>0.1196580997465667</v>
      </c>
      <c r="H9" s="21">
        <f t="shared" si="0"/>
        <v>-8.2653847722317431E-2</v>
      </c>
      <c r="I9" s="22">
        <f t="shared" si="2"/>
        <v>4.9868014187591306E-2</v>
      </c>
      <c r="J9" s="22">
        <f t="shared" si="1"/>
        <v>-1.6574521578379644</v>
      </c>
      <c r="K9" s="23">
        <f t="shared" si="3"/>
        <v>14.637665870900577</v>
      </c>
      <c r="L9">
        <f t="shared" si="4"/>
        <v>-0.15441443689256998</v>
      </c>
    </row>
    <row r="10" spans="1:12" ht="16.5" thickBot="1" x14ac:dyDescent="0.3">
      <c r="A10" s="62" t="s">
        <v>58</v>
      </c>
      <c r="B10" s="164">
        <v>20.738720176559692</v>
      </c>
      <c r="C10" s="134">
        <v>4.0354103399552885</v>
      </c>
      <c r="D10" s="116">
        <v>18.872948055724724</v>
      </c>
      <c r="E10" s="134">
        <v>2.7507282225748502</v>
      </c>
      <c r="F10" s="69">
        <f t="shared" ref="F10:F41" si="5">(B10-D10)/(B10+D10)</f>
        <v>4.7101579006822075E-2</v>
      </c>
      <c r="G10" s="70">
        <f t="shared" ref="G10:G41" si="6">_xlfn.T.DIST.2T(ABS(J10), K10)</f>
        <v>0.20140296718052078</v>
      </c>
      <c r="H10" s="21">
        <f t="shared" si="0"/>
        <v>1.8657721208349685</v>
      </c>
      <c r="I10" s="22">
        <f t="shared" ref="I10" si="7">(((C10^2)/B$2)+((E10^2)/D$2))^0.5</f>
        <v>1.4098180250859758</v>
      </c>
      <c r="J10" s="22">
        <f t="shared" si="1"/>
        <v>1.3234134389232164</v>
      </c>
      <c r="K10" s="23">
        <f t="shared" ref="K10" si="8">((((C10^2)/B$2)+((E10^2)/D$2))^2)/(((((C10^2)/B$2)^2)/C$2)+((((E10^2)/D$2)^2)/E$2))</f>
        <v>19.407116052846426</v>
      </c>
      <c r="L10">
        <f t="shared" si="4"/>
        <v>3.563043678023195E-2</v>
      </c>
    </row>
    <row r="11" spans="1:12" ht="16.5" thickBot="1" x14ac:dyDescent="0.3">
      <c r="A11" s="128"/>
      <c r="B11" s="168" t="s">
        <v>0</v>
      </c>
      <c r="C11" s="169"/>
      <c r="D11" s="131" t="s">
        <v>86</v>
      </c>
      <c r="E11" s="127"/>
      <c r="F11" s="30"/>
      <c r="G11" s="31"/>
      <c r="H11" s="21"/>
      <c r="I11" s="22"/>
      <c r="J11" s="22"/>
      <c r="K11" s="23"/>
      <c r="L11" t="e">
        <f t="shared" si="4"/>
        <v>#VALUE!</v>
      </c>
    </row>
    <row r="12" spans="1:12" ht="16.5" thickBot="1" x14ac:dyDescent="0.3">
      <c r="A12" s="88" t="s">
        <v>1</v>
      </c>
      <c r="B12" s="77">
        <v>0.16028728070175441</v>
      </c>
      <c r="C12" s="127">
        <v>0.1876188195525875</v>
      </c>
      <c r="D12" s="106">
        <v>9.2062801932367155E-2</v>
      </c>
      <c r="E12" s="127">
        <v>7.9055564374869533E-2</v>
      </c>
      <c r="F12" s="31">
        <f t="shared" si="5"/>
        <v>0.27035647485126785</v>
      </c>
      <c r="G12" s="31">
        <f t="shared" si="6"/>
        <v>0.26512618848913427</v>
      </c>
      <c r="H12" s="21">
        <f t="shared" ref="H12:H41" si="9">B12-D12</f>
        <v>6.8224478769387253E-2</v>
      </c>
      <c r="I12" s="22">
        <f t="shared" ref="I12:I41" si="10">(((C12^2)/B$2)+((E12^2)/D$2))^0.5</f>
        <v>5.877258694106146E-2</v>
      </c>
      <c r="J12" s="22">
        <f t="shared" ref="J12:J41" si="11">H12/I12</f>
        <v>1.1608214359834863</v>
      </c>
      <c r="K12" s="23">
        <f t="shared" ref="K12:K41" si="12">((((C12^2)/B$2)+((E12^2)/D$2))^2)/(((((C12^2)/B$2)^2)/C$2)+((((E12^2)/D$2)^2)/E$2))</f>
        <v>14.78665689760809</v>
      </c>
      <c r="L12">
        <f t="shared" si="4"/>
        <v>0.24126257601106771</v>
      </c>
    </row>
    <row r="13" spans="1:12" ht="16.5" thickBot="1" x14ac:dyDescent="0.3">
      <c r="A13" s="89" t="s">
        <v>2</v>
      </c>
      <c r="B13" s="77">
        <v>1.092982456140351E-2</v>
      </c>
      <c r="C13" s="127">
        <v>6.9150266973307083E-3</v>
      </c>
      <c r="D13" s="106">
        <v>8.7584541062801936E-3</v>
      </c>
      <c r="E13" s="127">
        <v>4.2054752599905605E-3</v>
      </c>
      <c r="F13" s="31">
        <f t="shared" si="5"/>
        <v>0.11028747062014106</v>
      </c>
      <c r="G13" s="31">
        <f t="shared" si="6"/>
        <v>0.36499061021961177</v>
      </c>
      <c r="H13" s="21">
        <f t="shared" si="9"/>
        <v>2.1713704551233164E-3</v>
      </c>
      <c r="I13" s="22">
        <f t="shared" si="10"/>
        <v>2.3363721233854049E-3</v>
      </c>
      <c r="J13" s="22">
        <f t="shared" si="11"/>
        <v>0.92937697440808309</v>
      </c>
      <c r="K13" s="23">
        <f t="shared" si="12"/>
        <v>18.157827111879293</v>
      </c>
      <c r="L13">
        <f t="shared" si="4"/>
        <v>0.11938769481540983</v>
      </c>
    </row>
    <row r="14" spans="1:12" ht="16.5" thickBot="1" x14ac:dyDescent="0.3">
      <c r="A14" s="89" t="s">
        <v>3</v>
      </c>
      <c r="B14" s="77">
        <v>4.1644736842105269E-2</v>
      </c>
      <c r="C14" s="127">
        <v>5.3468464241508799E-2</v>
      </c>
      <c r="D14" s="106">
        <v>1.3956521739130435E-2</v>
      </c>
      <c r="E14" s="127">
        <v>3.1607991575958873E-2</v>
      </c>
      <c r="F14" s="31">
        <f t="shared" si="5"/>
        <v>0.49797820785875235</v>
      </c>
      <c r="G14" s="31">
        <f t="shared" si="6"/>
        <v>0.14094689232214078</v>
      </c>
      <c r="H14" s="21">
        <f t="shared" si="9"/>
        <v>2.7688215102974832E-2</v>
      </c>
      <c r="I14" s="22">
        <f t="shared" si="10"/>
        <v>1.793028583108152E-2</v>
      </c>
      <c r="J14" s="22">
        <f t="shared" si="11"/>
        <v>1.544214931307915</v>
      </c>
      <c r="K14" s="23">
        <f t="shared" si="12"/>
        <v>17.851421316330399</v>
      </c>
      <c r="L14">
        <f t="shared" si="4"/>
        <v>0.36025233353175506</v>
      </c>
    </row>
    <row r="15" spans="1:12" ht="16.5" thickBot="1" x14ac:dyDescent="0.3">
      <c r="A15" s="89" t="s">
        <v>4</v>
      </c>
      <c r="B15" s="77">
        <v>6.6719298245614012E-2</v>
      </c>
      <c r="C15" s="127">
        <v>3.212714238664359E-2</v>
      </c>
      <c r="D15" s="106">
        <v>5.0772946859903391E-2</v>
      </c>
      <c r="E15" s="127">
        <v>1.5948257656523777E-2</v>
      </c>
      <c r="F15" s="31">
        <f t="shared" si="5"/>
        <v>0.13572258638337811</v>
      </c>
      <c r="G15" s="31">
        <f t="shared" si="6"/>
        <v>0.14308010685316064</v>
      </c>
      <c r="H15" s="21">
        <f t="shared" si="9"/>
        <v>1.5946351385710621E-2</v>
      </c>
      <c r="I15" s="22">
        <f t="shared" si="10"/>
        <v>1.0354146513235412E-2</v>
      </c>
      <c r="J15" s="22">
        <f t="shared" si="11"/>
        <v>1.5400932723259084</v>
      </c>
      <c r="K15" s="23">
        <f t="shared" si="12"/>
        <v>16.110958271533278</v>
      </c>
      <c r="L15">
        <f t="shared" si="4"/>
        <v>8.8934178031328859E-2</v>
      </c>
    </row>
    <row r="16" spans="1:12" ht="16.5" thickBot="1" x14ac:dyDescent="0.3">
      <c r="A16" s="89" t="s">
        <v>5</v>
      </c>
      <c r="B16" s="77">
        <v>0.31874780701754385</v>
      </c>
      <c r="C16" s="127">
        <v>0.23526565457885834</v>
      </c>
      <c r="D16" s="106">
        <v>0.35743961352657</v>
      </c>
      <c r="E16" s="127">
        <v>0.25548813487677791</v>
      </c>
      <c r="F16" s="31">
        <f t="shared" si="5"/>
        <v>-5.7220535806317814E-2</v>
      </c>
      <c r="G16" s="31">
        <f t="shared" si="6"/>
        <v>0.70344093429452825</v>
      </c>
      <c r="H16" s="21">
        <f t="shared" si="9"/>
        <v>-3.869180650902615E-2</v>
      </c>
      <c r="I16" s="22">
        <f t="shared" si="10"/>
        <v>0.10025971078788051</v>
      </c>
      <c r="J16" s="22">
        <f t="shared" si="11"/>
        <v>-0.38591580012520094</v>
      </c>
      <c r="K16" s="23">
        <f t="shared" si="12"/>
        <v>21.852082108647846</v>
      </c>
      <c r="L16">
        <f t="shared" si="4"/>
        <v>-0.148514610389619</v>
      </c>
    </row>
    <row r="17" spans="1:12" ht="27" thickBot="1" x14ac:dyDescent="0.3">
      <c r="A17" s="90" t="s">
        <v>72</v>
      </c>
      <c r="B17" s="77">
        <v>0</v>
      </c>
      <c r="C17" s="127">
        <v>0</v>
      </c>
      <c r="D17" s="106">
        <v>8.7149758454106285E-3</v>
      </c>
      <c r="E17" s="127">
        <v>1.3446068249966707E-2</v>
      </c>
      <c r="F17" s="31">
        <f t="shared" si="5"/>
        <v>-1</v>
      </c>
      <c r="G17" s="31">
        <f t="shared" si="6"/>
        <v>4.6274945049756301E-2</v>
      </c>
      <c r="H17" s="21">
        <f t="shared" si="9"/>
        <v>-8.7149758454106285E-3</v>
      </c>
      <c r="I17" s="22">
        <f t="shared" si="10"/>
        <v>3.8815455618301793E-3</v>
      </c>
      <c r="J17" s="22">
        <f t="shared" si="11"/>
        <v>-2.2452334274034511</v>
      </c>
      <c r="K17" s="23">
        <f t="shared" si="12"/>
        <v>11</v>
      </c>
      <c r="L17">
        <f t="shared" si="4"/>
        <v>-0.62987373388992918</v>
      </c>
    </row>
    <row r="18" spans="1:12" ht="16.5" thickBot="1" x14ac:dyDescent="0.3">
      <c r="A18" s="89" t="s">
        <v>6</v>
      </c>
      <c r="B18" s="77">
        <v>0</v>
      </c>
      <c r="C18" s="127">
        <v>0</v>
      </c>
      <c r="D18" s="106">
        <v>5.5265700483091793E-3</v>
      </c>
      <c r="E18" s="127">
        <v>8.523579281423721E-3</v>
      </c>
      <c r="F18" s="31">
        <f t="shared" si="5"/>
        <v>-1</v>
      </c>
      <c r="G18" s="31">
        <f t="shared" si="6"/>
        <v>4.6206720896618515E-2</v>
      </c>
      <c r="H18" s="21">
        <f t="shared" si="9"/>
        <v>-5.5265700483091793E-3</v>
      </c>
      <c r="I18" s="22">
        <f t="shared" si="10"/>
        <v>2.4605453962945512E-3</v>
      </c>
      <c r="J18" s="22">
        <f t="shared" si="11"/>
        <v>-2.2460752224412914</v>
      </c>
      <c r="K18" s="23">
        <f t="shared" si="12"/>
        <v>11</v>
      </c>
      <c r="L18">
        <f t="shared" si="4"/>
        <v>-0.6296376667367205</v>
      </c>
    </row>
    <row r="19" spans="1:12" ht="16.5" thickBot="1" x14ac:dyDescent="0.3">
      <c r="A19" s="91" t="s">
        <v>7</v>
      </c>
      <c r="B19" s="77">
        <v>0.21059649122807014</v>
      </c>
      <c r="C19" s="127">
        <v>0.1499699950403634</v>
      </c>
      <c r="D19" s="106">
        <v>0.15007729468599032</v>
      </c>
      <c r="E19" s="127">
        <v>8.1195506125282799E-2</v>
      </c>
      <c r="F19" s="31">
        <f t="shared" si="5"/>
        <v>0.16779482985907945</v>
      </c>
      <c r="G19" s="31">
        <f t="shared" si="6"/>
        <v>0.23673074417620343</v>
      </c>
      <c r="H19" s="21">
        <f t="shared" si="9"/>
        <v>6.0519196542079823E-2</v>
      </c>
      <c r="I19" s="22">
        <f t="shared" si="10"/>
        <v>4.9230503439896101E-2</v>
      </c>
      <c r="J19" s="22">
        <f t="shared" si="11"/>
        <v>1.2293028166158348</v>
      </c>
      <c r="K19" s="23">
        <f t="shared" si="12"/>
        <v>16.938527881477256</v>
      </c>
      <c r="L19">
        <f t="shared" si="4"/>
        <v>0.13840411941107794</v>
      </c>
    </row>
    <row r="20" spans="1:12" ht="16.5" thickBot="1" x14ac:dyDescent="0.3">
      <c r="A20" s="89" t="s">
        <v>8</v>
      </c>
      <c r="B20" s="77">
        <v>1.2828947368421053E-4</v>
      </c>
      <c r="C20" s="127">
        <v>3.5073410596724497E-4</v>
      </c>
      <c r="D20" s="106">
        <v>5.3768115942028983E-3</v>
      </c>
      <c r="E20" s="127">
        <v>5.6722349305481342E-3</v>
      </c>
      <c r="F20" s="31">
        <f t="shared" si="5"/>
        <v>-0.95339250920112562</v>
      </c>
      <c r="G20" s="31">
        <f t="shared" si="6"/>
        <v>1.1982503462888769E-2</v>
      </c>
      <c r="H20" s="21">
        <f t="shared" si="9"/>
        <v>-5.2485221205186873E-3</v>
      </c>
      <c r="I20" s="22">
        <f>(((C20^2)/B$44)+((E20^2)/D$44))^0.5</f>
        <v>1.713509517187646E-3</v>
      </c>
      <c r="J20" s="22">
        <f t="shared" ref="J20" si="13">H20/I20</f>
        <v>-3.0630247850230776</v>
      </c>
      <c r="K20" s="23">
        <f>((((C20^2)/B$44)+((E20^2)/D$44))^2)/(((((C20^2)/B$44)^2)/C$44)+((((E20^2)/D$44)^2)/E$44))</f>
        <v>10.076466502419414</v>
      </c>
      <c r="L20">
        <f t="shared" si="4"/>
        <v>-0.43005037306722577</v>
      </c>
    </row>
    <row r="21" spans="1:12" ht="16.5" thickBot="1" x14ac:dyDescent="0.3">
      <c r="A21" s="89" t="s">
        <v>73</v>
      </c>
      <c r="B21" s="77">
        <v>7.1359649122807014E-3</v>
      </c>
      <c r="C21" s="127">
        <v>1.1071923430822085E-2</v>
      </c>
      <c r="D21" s="106">
        <v>4.242512077294687E-2</v>
      </c>
      <c r="E21" s="127">
        <v>6.5163849001702107E-2</v>
      </c>
      <c r="F21" s="31">
        <f t="shared" si="5"/>
        <v>-0.71203355158106696</v>
      </c>
      <c r="G21" s="31">
        <f t="shared" si="6"/>
        <v>9.1420544007427398E-2</v>
      </c>
      <c r="H21" s="21">
        <f t="shared" si="9"/>
        <v>-3.5289155860666166E-2</v>
      </c>
      <c r="I21" s="22">
        <f t="shared" si="10"/>
        <v>1.9080781572860642E-2</v>
      </c>
      <c r="J21" s="22">
        <f t="shared" si="11"/>
        <v>-1.8494607113400083</v>
      </c>
      <c r="K21" s="23">
        <f t="shared" si="12"/>
        <v>11.634590506493682</v>
      </c>
      <c r="L21">
        <f t="shared" si="4"/>
        <v>-0.47261857894040193</v>
      </c>
    </row>
    <row r="22" spans="1:12" ht="17.25" customHeight="1" thickBot="1" x14ac:dyDescent="0.3">
      <c r="A22" s="89" t="s">
        <v>9</v>
      </c>
      <c r="B22" s="77">
        <v>1.8752192982456142E-2</v>
      </c>
      <c r="C22" s="127">
        <v>3.8724119241392345E-2</v>
      </c>
      <c r="D22" s="106">
        <v>0.13402898550724637</v>
      </c>
      <c r="E22" s="127">
        <v>0.19689979027466717</v>
      </c>
      <c r="F22" s="31">
        <f t="shared" si="5"/>
        <v>-0.75452221055200142</v>
      </c>
      <c r="G22" s="31">
        <f t="shared" si="6"/>
        <v>7.2030433092841142E-2</v>
      </c>
      <c r="H22" s="21">
        <f t="shared" si="9"/>
        <v>-0.11527679252479023</v>
      </c>
      <c r="I22" s="22">
        <f t="shared" si="10"/>
        <v>5.792889666164712E-2</v>
      </c>
      <c r="J22" s="22">
        <f t="shared" si="11"/>
        <v>-1.9899704494304882</v>
      </c>
      <c r="K22" s="23">
        <f t="shared" si="12"/>
        <v>11.849661679994021</v>
      </c>
      <c r="L22">
        <f t="shared" si="4"/>
        <v>-0.47498392251375893</v>
      </c>
    </row>
    <row r="23" spans="1:12" ht="16.5" thickBot="1" x14ac:dyDescent="0.3">
      <c r="A23" s="92" t="s">
        <v>10</v>
      </c>
      <c r="B23" s="77">
        <v>1.2828947368421053E-4</v>
      </c>
      <c r="C23" s="127">
        <v>3.5073410596724497E-4</v>
      </c>
      <c r="D23" s="106">
        <v>6.0579710144927539E-3</v>
      </c>
      <c r="E23" s="127">
        <v>9.5840635594782696E-3</v>
      </c>
      <c r="F23" s="31">
        <f t="shared" si="5"/>
        <v>-0.95852438676664364</v>
      </c>
      <c r="G23" s="31">
        <f t="shared" si="6"/>
        <v>6.7437087945635452E-2</v>
      </c>
      <c r="H23" s="21">
        <f t="shared" si="9"/>
        <v>-5.9296815408085429E-3</v>
      </c>
      <c r="I23" s="22">
        <f>(((C23^2)/B$44)+((E23^2)/D$44))^0.5</f>
        <v>2.8916382384889762E-3</v>
      </c>
      <c r="J23" s="22">
        <f t="shared" ref="J23" si="14">H23/I23</f>
        <v>-2.0506304910074418</v>
      </c>
      <c r="K23" s="23">
        <f>((((C23^2)/B$44)+((E23^2)/D$44))^2)/(((((C23^2)/B$44)^2)/C$44)+((((E23^2)/D$44)^2)/E$44))</f>
        <v>10.026784641951153</v>
      </c>
      <c r="L23">
        <f t="shared" si="4"/>
        <v>-0.64748111015588183</v>
      </c>
    </row>
    <row r="24" spans="1:12" ht="16.5" thickBot="1" x14ac:dyDescent="0.3">
      <c r="A24" s="92" t="s">
        <v>11</v>
      </c>
      <c r="B24" s="77">
        <v>1.2828947368421053E-4</v>
      </c>
      <c r="C24" s="127">
        <v>3.5073410596724497E-4</v>
      </c>
      <c r="D24" s="106">
        <v>5.478260869565218E-3</v>
      </c>
      <c r="E24" s="127">
        <v>6.5719420402354607E-3</v>
      </c>
      <c r="F24" s="31">
        <f t="shared" si="5"/>
        <v>-0.95423586133006799</v>
      </c>
      <c r="G24" s="31">
        <f t="shared" si="6"/>
        <v>2.2463130687236973E-2</v>
      </c>
      <c r="H24" s="21">
        <f t="shared" si="9"/>
        <v>-5.349971395881007E-3</v>
      </c>
      <c r="I24" s="22">
        <f>(((C24^2)/B$44)+((E24^2)/D$44))^0.5</f>
        <v>1.9843349376669544E-3</v>
      </c>
      <c r="J24" s="22">
        <f t="shared" ref="J24" si="15">H24/I24</f>
        <v>-2.6961030087849678</v>
      </c>
      <c r="K24" s="23">
        <f>((((C24^2)/B$44)+((E24^2)/D$44))^2)/(((((C24^2)/B$44)^2)/C$44)+((((E24^2)/D$44)^2)/E$44))</f>
        <v>10.056963284438158</v>
      </c>
      <c r="L24">
        <f t="shared" si="4"/>
        <v>-0.48921558525842535</v>
      </c>
    </row>
    <row r="25" spans="1:12" ht="16.5" thickBot="1" x14ac:dyDescent="0.3">
      <c r="A25" s="92" t="s">
        <v>12</v>
      </c>
      <c r="B25" s="77">
        <v>4.4956140350877198E-4</v>
      </c>
      <c r="C25" s="127">
        <v>1.019944543337986E-3</v>
      </c>
      <c r="D25" s="106">
        <v>5.2801932367149756E-3</v>
      </c>
      <c r="E25" s="127">
        <v>5.9064952935122296E-3</v>
      </c>
      <c r="F25" s="31">
        <f t="shared" si="5"/>
        <v>-0.84307830553413843</v>
      </c>
      <c r="G25" s="31">
        <f t="shared" si="6"/>
        <v>1.753001954060341E-2</v>
      </c>
      <c r="H25" s="21">
        <f t="shared" si="9"/>
        <v>-4.8306318332062038E-3</v>
      </c>
      <c r="I25" s="22">
        <f t="shared" si="10"/>
        <v>1.7302931717815685E-3</v>
      </c>
      <c r="J25" s="22">
        <f t="shared" si="11"/>
        <v>-2.7917996279395947</v>
      </c>
      <c r="K25" s="23">
        <f t="shared" si="12"/>
        <v>11.655435684242583</v>
      </c>
      <c r="L25">
        <f t="shared" si="4"/>
        <v>-0.39498525347779817</v>
      </c>
    </row>
    <row r="26" spans="1:12" ht="16.5" thickBot="1" x14ac:dyDescent="0.3">
      <c r="A26" s="89" t="s">
        <v>13</v>
      </c>
      <c r="B26" s="77">
        <v>1.3493421052631576E-2</v>
      </c>
      <c r="C26" s="127">
        <v>9.181318178800784E-3</v>
      </c>
      <c r="D26" s="106">
        <v>1.2719806763285026E-2</v>
      </c>
      <c r="E26" s="127">
        <v>8.6992643646617747E-3</v>
      </c>
      <c r="F26" s="31">
        <f t="shared" si="5"/>
        <v>2.9512362795581178E-2</v>
      </c>
      <c r="G26" s="31">
        <f t="shared" si="6"/>
        <v>0.83424329476035652</v>
      </c>
      <c r="H26" s="21">
        <f t="shared" si="9"/>
        <v>7.7361428934655078E-4</v>
      </c>
      <c r="I26" s="22">
        <f t="shared" si="10"/>
        <v>3.6511847847268699E-3</v>
      </c>
      <c r="J26" s="22">
        <f t="shared" si="11"/>
        <v>0.21188034431525538</v>
      </c>
      <c r="K26" s="23">
        <f t="shared" si="12"/>
        <v>21.936317463468498</v>
      </c>
      <c r="L26">
        <f t="shared" si="4"/>
        <v>0.1393485196847119</v>
      </c>
    </row>
    <row r="27" spans="1:12" ht="16.5" thickBot="1" x14ac:dyDescent="0.3">
      <c r="A27" s="89" t="s">
        <v>14</v>
      </c>
      <c r="B27" s="77">
        <v>0.10859649122807016</v>
      </c>
      <c r="C27" s="127">
        <v>8.7363423888142389E-2</v>
      </c>
      <c r="D27" s="106">
        <v>0.1076376811594203</v>
      </c>
      <c r="E27" s="127">
        <v>6.6760690985046167E-2</v>
      </c>
      <c r="F27" s="31">
        <f t="shared" si="5"/>
        <v>4.4341283251552186E-3</v>
      </c>
      <c r="G27" s="31">
        <f t="shared" si="6"/>
        <v>0.97620060685152432</v>
      </c>
      <c r="H27" s="21">
        <f t="shared" si="9"/>
        <v>9.5881006864986795E-4</v>
      </c>
      <c r="I27" s="22">
        <f t="shared" si="10"/>
        <v>3.1740297328816454E-2</v>
      </c>
      <c r="J27" s="22">
        <f t="shared" si="11"/>
        <v>3.0207973753899945E-2</v>
      </c>
      <c r="K27" s="23">
        <f t="shared" si="12"/>
        <v>20.580179143503546</v>
      </c>
      <c r="L27">
        <f t="shared" si="4"/>
        <v>0.14678812792474136</v>
      </c>
    </row>
    <row r="28" spans="1:12" ht="16.5" thickBot="1" x14ac:dyDescent="0.3">
      <c r="A28" s="89" t="s">
        <v>15</v>
      </c>
      <c r="B28" s="77">
        <v>3.1730263157894734E-2</v>
      </c>
      <c r="C28" s="127">
        <v>2.0022942724064085E-2</v>
      </c>
      <c r="D28" s="106">
        <v>2.4275362318840581E-2</v>
      </c>
      <c r="E28" s="127">
        <v>1.0629043748288743E-2</v>
      </c>
      <c r="F28" s="31">
        <f t="shared" si="5"/>
        <v>0.13310985772582634</v>
      </c>
      <c r="G28" s="31">
        <f t="shared" si="6"/>
        <v>0.27139369223610277</v>
      </c>
      <c r="H28" s="21">
        <f t="shared" si="9"/>
        <v>7.454900839054153E-3</v>
      </c>
      <c r="I28" s="22">
        <f t="shared" si="10"/>
        <v>6.5440482267871145E-3</v>
      </c>
      <c r="J28" s="22">
        <f t="shared" si="11"/>
        <v>1.1391879431050944</v>
      </c>
      <c r="K28" s="23">
        <f t="shared" si="12"/>
        <v>16.743406576546946</v>
      </c>
      <c r="L28">
        <f t="shared" si="4"/>
        <v>0.11787687592041012</v>
      </c>
    </row>
    <row r="29" spans="1:12" ht="16.5" thickBot="1" x14ac:dyDescent="0.3">
      <c r="A29" s="89" t="s">
        <v>16</v>
      </c>
      <c r="B29" s="77">
        <v>1.9945175438596491E-2</v>
      </c>
      <c r="C29" s="127">
        <v>1.0072420702993787E-2</v>
      </c>
      <c r="D29" s="106">
        <v>2.3135265700483094E-2</v>
      </c>
      <c r="E29" s="127">
        <v>7.5792562618592508E-3</v>
      </c>
      <c r="F29" s="31">
        <f t="shared" si="5"/>
        <v>-7.4049619213225143E-2</v>
      </c>
      <c r="G29" s="31">
        <f t="shared" si="6"/>
        <v>0.39107768725107694</v>
      </c>
      <c r="H29" s="21">
        <f t="shared" si="9"/>
        <v>-3.1900902618866023E-3</v>
      </c>
      <c r="I29" s="22">
        <f t="shared" si="10"/>
        <v>3.6388961730749077E-3</v>
      </c>
      <c r="J29" s="22">
        <f t="shared" si="11"/>
        <v>-0.87666427129492419</v>
      </c>
      <c r="K29" s="23">
        <f t="shared" si="12"/>
        <v>20.4326789970834</v>
      </c>
      <c r="L29">
        <f t="shared" si="4"/>
        <v>-8.4698742658368603E-2</v>
      </c>
    </row>
    <row r="30" spans="1:12" ht="16.5" thickBot="1" x14ac:dyDescent="0.3">
      <c r="A30" s="91" t="s">
        <v>17</v>
      </c>
      <c r="B30" s="77">
        <v>6.0947368421052653E-2</v>
      </c>
      <c r="C30" s="127">
        <v>4.1997514646278371E-2</v>
      </c>
      <c r="D30" s="106">
        <v>5.8748792270531411E-2</v>
      </c>
      <c r="E30" s="127">
        <v>3.6465800549823214E-2</v>
      </c>
      <c r="F30" s="31">
        <f t="shared" si="5"/>
        <v>1.8367975529191938E-2</v>
      </c>
      <c r="G30" s="31">
        <f t="shared" si="6"/>
        <v>0.89238913643635065</v>
      </c>
      <c r="H30" s="21">
        <f t="shared" si="9"/>
        <v>2.198576150521242E-3</v>
      </c>
      <c r="I30" s="22">
        <f t="shared" si="10"/>
        <v>1.6056010936208731E-2</v>
      </c>
      <c r="J30" s="22">
        <f t="shared" si="11"/>
        <v>0.13693165502043353</v>
      </c>
      <c r="K30" s="23">
        <f t="shared" si="12"/>
        <v>21.57528635466732</v>
      </c>
      <c r="L30">
        <f t="shared" si="4"/>
        <v>0.13416235845634233</v>
      </c>
    </row>
    <row r="31" spans="1:12" ht="16.5" thickBot="1" x14ac:dyDescent="0.3">
      <c r="A31" s="92" t="s">
        <v>18</v>
      </c>
      <c r="B31" s="77">
        <v>0</v>
      </c>
      <c r="C31" s="127">
        <v>0</v>
      </c>
      <c r="D31" s="106">
        <v>0</v>
      </c>
      <c r="E31" s="127">
        <v>0</v>
      </c>
      <c r="F31" s="31" t="e">
        <f t="shared" si="5"/>
        <v>#DIV/0!</v>
      </c>
      <c r="G31" s="31" t="e">
        <f t="shared" si="6"/>
        <v>#DIV/0!</v>
      </c>
      <c r="H31" s="21">
        <f t="shared" si="9"/>
        <v>0</v>
      </c>
      <c r="I31" s="22">
        <f>(((C31^2)/B$44)+((E31^2)/D$44))^0.5</f>
        <v>0</v>
      </c>
      <c r="J31" s="22" t="e">
        <f t="shared" ref="J31" si="16">H31/I31</f>
        <v>#DIV/0!</v>
      </c>
      <c r="K31" s="23" t="e">
        <f>((((C31^2)/B$44)+((E31^2)/D$44))^2)/(((((C31^2)/B$44)^2)/C$44)+((((E31^2)/D$44)^2)/E$44))</f>
        <v>#DIV/0!</v>
      </c>
      <c r="L31" t="e">
        <f t="shared" si="4"/>
        <v>#DIV/0!</v>
      </c>
    </row>
    <row r="32" spans="1:12" ht="16.5" thickBot="1" x14ac:dyDescent="0.3">
      <c r="A32" s="92" t="s">
        <v>19</v>
      </c>
      <c r="B32" s="77">
        <v>1.3171052631578948E-2</v>
      </c>
      <c r="C32" s="127">
        <v>4.9252465944986452E-2</v>
      </c>
      <c r="D32" s="106">
        <v>0</v>
      </c>
      <c r="E32" s="127">
        <v>0</v>
      </c>
      <c r="F32" s="31">
        <f t="shared" si="5"/>
        <v>1</v>
      </c>
      <c r="G32" s="31">
        <f t="shared" si="6"/>
        <v>0.37413322442550823</v>
      </c>
      <c r="H32" s="21">
        <f t="shared" si="9"/>
        <v>1.3171052631578948E-2</v>
      </c>
      <c r="I32" s="22">
        <f t="shared" si="10"/>
        <v>1.4217962235795401E-2</v>
      </c>
      <c r="J32" s="22">
        <f t="shared" si="11"/>
        <v>0.92636711317317089</v>
      </c>
      <c r="K32" s="23">
        <f t="shared" si="12"/>
        <v>11</v>
      </c>
      <c r="L32">
        <f t="shared" si="4"/>
        <v>1.5266232385224241</v>
      </c>
    </row>
    <row r="33" spans="1:12" ht="16.5" thickBot="1" x14ac:dyDescent="0.3">
      <c r="A33" s="15" t="s">
        <v>20</v>
      </c>
      <c r="B33" s="77">
        <v>0</v>
      </c>
      <c r="C33" s="127">
        <v>0</v>
      </c>
      <c r="D33" s="106">
        <v>0</v>
      </c>
      <c r="E33" s="127">
        <v>0</v>
      </c>
      <c r="F33" s="31" t="e">
        <f t="shared" si="5"/>
        <v>#DIV/0!</v>
      </c>
      <c r="G33" s="31" t="e">
        <f t="shared" si="6"/>
        <v>#DIV/0!</v>
      </c>
      <c r="H33" s="21">
        <f t="shared" si="9"/>
        <v>0</v>
      </c>
      <c r="I33" s="22">
        <f t="shared" si="10"/>
        <v>0</v>
      </c>
      <c r="J33" s="22" t="e">
        <f t="shared" si="11"/>
        <v>#DIV/0!</v>
      </c>
      <c r="K33" s="23" t="e">
        <f t="shared" si="12"/>
        <v>#DIV/0!</v>
      </c>
      <c r="L33" t="e">
        <f t="shared" si="4"/>
        <v>#DIV/0!</v>
      </c>
    </row>
    <row r="34" spans="1:12" ht="16.5" thickBot="1" x14ac:dyDescent="0.3">
      <c r="A34" s="91" t="s">
        <v>74</v>
      </c>
      <c r="B34" s="77">
        <v>0.29586403508771925</v>
      </c>
      <c r="C34" s="127">
        <v>0.16129971189632042</v>
      </c>
      <c r="D34" s="106">
        <v>0.18849275362318837</v>
      </c>
      <c r="E34" s="127">
        <v>0.12254227823853944</v>
      </c>
      <c r="F34" s="31">
        <f t="shared" si="5"/>
        <v>0.22167807691989699</v>
      </c>
      <c r="G34" s="31">
        <f t="shared" si="6"/>
        <v>8.1248961171045908E-2</v>
      </c>
      <c r="H34" s="21">
        <f t="shared" si="9"/>
        <v>0.10737128146453087</v>
      </c>
      <c r="I34" s="22">
        <f t="shared" si="10"/>
        <v>5.8476638507560998E-2</v>
      </c>
      <c r="J34" s="22">
        <f t="shared" si="11"/>
        <v>1.8361397680314306</v>
      </c>
      <c r="K34" s="23">
        <f t="shared" si="12"/>
        <v>20.524802373593456</v>
      </c>
      <c r="L34">
        <f t="shared" si="4"/>
        <v>0.12366134711622426</v>
      </c>
    </row>
    <row r="35" spans="1:12" ht="16.5" thickBot="1" x14ac:dyDescent="0.3">
      <c r="A35" s="91" t="s">
        <v>21</v>
      </c>
      <c r="B35" s="77">
        <v>1.0120614035087719E-2</v>
      </c>
      <c r="C35" s="127">
        <v>6.7018468903575143E-3</v>
      </c>
      <c r="D35" s="106">
        <v>5.9420289855072464E-3</v>
      </c>
      <c r="E35" s="127">
        <v>1.2147816938797277E-2</v>
      </c>
      <c r="F35" s="31">
        <f t="shared" si="5"/>
        <v>0.2601430564212151</v>
      </c>
      <c r="G35" s="31">
        <f t="shared" si="6"/>
        <v>0.31140520449133396</v>
      </c>
      <c r="H35" s="21">
        <f t="shared" si="9"/>
        <v>4.1785850495804728E-3</v>
      </c>
      <c r="I35" s="22">
        <f t="shared" si="10"/>
        <v>4.0050406585568797E-3</v>
      </c>
      <c r="J35" s="22">
        <f t="shared" si="11"/>
        <v>1.0433314929407298</v>
      </c>
      <c r="K35" s="23">
        <f t="shared" si="12"/>
        <v>17.128289253224125</v>
      </c>
      <c r="L35">
        <f t="shared" si="4"/>
        <v>0.25763765555423684</v>
      </c>
    </row>
    <row r="36" spans="1:12" ht="16.5" thickBot="1" x14ac:dyDescent="0.3">
      <c r="A36" s="91" t="s">
        <v>22</v>
      </c>
      <c r="B36" s="77">
        <v>9.8155701754385982E-2</v>
      </c>
      <c r="C36" s="127">
        <v>5.7334783341375622E-2</v>
      </c>
      <c r="D36" s="106">
        <v>7.7806763285024158E-2</v>
      </c>
      <c r="E36" s="127">
        <v>7.4223331069151008E-2</v>
      </c>
      <c r="F36" s="31">
        <f t="shared" si="5"/>
        <v>0.11564363152564548</v>
      </c>
      <c r="G36" s="31">
        <f t="shared" si="6"/>
        <v>0.46105188579662826</v>
      </c>
      <c r="H36" s="21">
        <f t="shared" si="9"/>
        <v>2.0348938469361824E-2</v>
      </c>
      <c r="I36" s="22">
        <f t="shared" si="10"/>
        <v>2.7074557946227061E-2</v>
      </c>
      <c r="J36" s="22">
        <f t="shared" si="11"/>
        <v>0.75158894596827663</v>
      </c>
      <c r="K36" s="23">
        <f t="shared" si="12"/>
        <v>20.680604123029728</v>
      </c>
      <c r="L36">
        <f t="shared" si="4"/>
        <v>0.15489096943562825</v>
      </c>
    </row>
    <row r="37" spans="1:12" ht="16.5" thickBot="1" x14ac:dyDescent="0.3">
      <c r="A37" s="89" t="s">
        <v>23</v>
      </c>
      <c r="B37" s="77">
        <v>2.7368421052631577E-3</v>
      </c>
      <c r="C37" s="127">
        <v>9.3471615132925748E-3</v>
      </c>
      <c r="D37" s="106">
        <v>0</v>
      </c>
      <c r="E37" s="127">
        <v>0</v>
      </c>
      <c r="F37" s="31">
        <f t="shared" si="5"/>
        <v>1</v>
      </c>
      <c r="G37" s="31">
        <f t="shared" si="6"/>
        <v>0.33223675045669887</v>
      </c>
      <c r="H37" s="21">
        <f t="shared" si="9"/>
        <v>2.7368421052631577E-3</v>
      </c>
      <c r="I37" s="22">
        <f t="shared" si="10"/>
        <v>2.6982931079291886E-3</v>
      </c>
      <c r="J37" s="22">
        <f t="shared" si="11"/>
        <v>1.0142864380525189</v>
      </c>
      <c r="K37" s="23">
        <f t="shared" si="12"/>
        <v>11</v>
      </c>
      <c r="L37">
        <f t="shared" si="4"/>
        <v>1.3942940665641319</v>
      </c>
    </row>
    <row r="38" spans="1:12" ht="16.5" thickBot="1" x14ac:dyDescent="0.3">
      <c r="A38" s="89" t="s">
        <v>24</v>
      </c>
      <c r="B38" s="77">
        <v>0.44355921052631586</v>
      </c>
      <c r="C38" s="127">
        <v>0.34113903999459982</v>
      </c>
      <c r="D38" s="106">
        <v>0.14649275362318842</v>
      </c>
      <c r="E38" s="127">
        <v>0.11363514614688347</v>
      </c>
      <c r="F38" s="31">
        <f t="shared" si="5"/>
        <v>0.50345812733852413</v>
      </c>
      <c r="G38" s="31">
        <f t="shared" si="6"/>
        <v>1.7927382190283475E-2</v>
      </c>
      <c r="H38" s="21">
        <f t="shared" si="9"/>
        <v>0.29706645690312744</v>
      </c>
      <c r="I38" s="22">
        <f>(((C38^2)/B$44)+((E38^2)/D$44))^0.5</f>
        <v>0.10841368206519321</v>
      </c>
      <c r="J38" s="22">
        <f t="shared" si="11"/>
        <v>2.7401196163090398</v>
      </c>
      <c r="K38" s="23">
        <f>((((C38^2)/B$44)+((E38^2)/D$44))^2)/(((((C38^2)/B$44)^2)/C$44)+((((E38^2)/D$44)^2)/E$44))</f>
        <v>12.192189827503627</v>
      </c>
      <c r="L38">
        <f t="shared" si="4"/>
        <v>0.20570782925464554</v>
      </c>
    </row>
    <row r="39" spans="1:12" ht="16.5" thickBot="1" x14ac:dyDescent="0.3">
      <c r="A39" s="92" t="s">
        <v>25</v>
      </c>
      <c r="B39" s="77">
        <v>0</v>
      </c>
      <c r="C39" s="127">
        <v>0</v>
      </c>
      <c r="D39" s="106">
        <v>0</v>
      </c>
      <c r="E39" s="127">
        <v>0</v>
      </c>
      <c r="F39" s="31" t="e">
        <f t="shared" si="5"/>
        <v>#DIV/0!</v>
      </c>
      <c r="G39" s="31" t="e">
        <f t="shared" si="6"/>
        <v>#DIV/0!</v>
      </c>
      <c r="H39" s="21">
        <f t="shared" si="9"/>
        <v>0</v>
      </c>
      <c r="I39" s="22">
        <f t="shared" si="10"/>
        <v>0</v>
      </c>
      <c r="J39" s="22" t="e">
        <f t="shared" si="11"/>
        <v>#DIV/0!</v>
      </c>
      <c r="K39" s="23" t="e">
        <f t="shared" si="12"/>
        <v>#DIV/0!</v>
      </c>
      <c r="L39" t="e">
        <f t="shared" si="4"/>
        <v>#DIV/0!</v>
      </c>
    </row>
    <row r="40" spans="1:12" ht="16.5" thickBot="1" x14ac:dyDescent="0.3">
      <c r="A40" s="89" t="s">
        <v>26</v>
      </c>
      <c r="B40" s="77">
        <v>0</v>
      </c>
      <c r="C40" s="127">
        <v>0</v>
      </c>
      <c r="D40" s="106">
        <v>6.8541062801932381E-2</v>
      </c>
      <c r="E40" s="127">
        <v>6.3666431483518068E-2</v>
      </c>
      <c r="F40" s="31">
        <f t="shared" si="5"/>
        <v>-1</v>
      </c>
      <c r="G40" s="31">
        <f t="shared" si="6"/>
        <v>3.3273289625301442E-3</v>
      </c>
      <c r="H40" s="21">
        <f t="shared" si="9"/>
        <v>-6.8541062801932381E-2</v>
      </c>
      <c r="I40" s="22">
        <f t="shared" si="10"/>
        <v>1.8378915677676012E-2</v>
      </c>
      <c r="J40" s="22">
        <f t="shared" si="11"/>
        <v>-3.7293311533708122</v>
      </c>
      <c r="K40" s="23">
        <f t="shared" si="12"/>
        <v>11</v>
      </c>
      <c r="L40">
        <f t="shared" si="4"/>
        <v>-0.37921372605777764</v>
      </c>
    </row>
    <row r="41" spans="1:12" ht="16.5" thickBot="1" x14ac:dyDescent="0.3">
      <c r="A41" s="93" t="s">
        <v>27</v>
      </c>
      <c r="B41" s="77">
        <v>7.7458333333333323E-2</v>
      </c>
      <c r="C41" s="127">
        <v>6.8278721077606741E-2</v>
      </c>
      <c r="D41" s="106">
        <v>3.8565217391304349E-2</v>
      </c>
      <c r="E41" s="127">
        <v>4.0349518387116985E-2</v>
      </c>
      <c r="F41" s="35">
        <f t="shared" si="5"/>
        <v>0.33521742524787251</v>
      </c>
      <c r="G41" s="35">
        <f t="shared" si="6"/>
        <v>0.10758697011812447</v>
      </c>
      <c r="H41" s="21">
        <f t="shared" si="9"/>
        <v>3.8893115942028975E-2</v>
      </c>
      <c r="I41" s="22">
        <f t="shared" si="10"/>
        <v>2.2894809066077819E-2</v>
      </c>
      <c r="J41" s="22">
        <f t="shared" si="11"/>
        <v>1.6987744178070088</v>
      </c>
      <c r="K41" s="23">
        <f t="shared" si="12"/>
        <v>17.847812503049109</v>
      </c>
      <c r="L41">
        <f t="shared" si="4"/>
        <v>0.20812087761596818</v>
      </c>
    </row>
    <row r="43" spans="1:12" ht="47.25" x14ac:dyDescent="0.25">
      <c r="A43" s="125" t="s">
        <v>91</v>
      </c>
      <c r="B43" t="s">
        <v>70</v>
      </c>
      <c r="C43" t="s">
        <v>71</v>
      </c>
      <c r="D43" t="s">
        <v>70</v>
      </c>
      <c r="E43" t="s">
        <v>71</v>
      </c>
    </row>
    <row r="44" spans="1:12" x14ac:dyDescent="0.25">
      <c r="B44">
        <v>11</v>
      </c>
      <c r="C44">
        <v>10</v>
      </c>
      <c r="D44">
        <v>11</v>
      </c>
      <c r="E44">
        <v>10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60F3D68C-EF44-4EB2-AE02-2B4640D4000E}">
            <x14:iconSet custom="1">
              <x14:cfvo type="percent">
                <xm:f>0</xm:f>
              </x14:cfvo>
              <x14:cfvo type="num">
                <xm:f>0.05</xm:f>
              </x14:cfvo>
              <x14:cfvo type="num">
                <xm:f>0.1</xm:f>
              </x14:cfvo>
              <x14:cfIcon iconSet="3TrafficLights1" iconId="2"/>
              <x14:cfIcon iconSet="3TrafficLights1" iconId="1"/>
              <x14:cfIcon iconSet="3TrafficLights1" iconId="0"/>
            </x14:iconSet>
          </x14:cfRule>
          <xm:sqref>G5:G42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Anxiety depression info</vt:lpstr>
      <vt:lpstr>Basic Stats Analysis</vt:lpstr>
      <vt:lpstr>Most Effective All Data</vt:lpstr>
      <vt:lpstr>Least Effective All Data</vt:lpstr>
      <vt:lpstr>Correlation Coefficients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</cp:lastModifiedBy>
  <dcterms:created xsi:type="dcterms:W3CDTF">2018-01-25T17:40:39Z</dcterms:created>
  <dcterms:modified xsi:type="dcterms:W3CDTF">2018-09-29T18:34:20Z</dcterms:modified>
</cp:coreProperties>
</file>